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90" windowWidth="5775" windowHeight="7140" tabRatio="713" activeTab="2"/>
  </bookViews>
  <sheets>
    <sheet name="PRECIO PLANTEL CON IMPUESTO" sheetId="1" r:id="rId1"/>
    <sheet name="PRECIOS COMBUSTIBLES SIN IMPUES" sheetId="2" r:id="rId2"/>
    <sheet name="IMPUESTOS POR PRODUCTOS" sheetId="3" r:id="rId3"/>
  </sheets>
  <definedNames/>
  <calcPr fullCalcOnLoad="1"/>
</workbook>
</file>

<file path=xl/sharedStrings.xml><?xml version="1.0" encoding="utf-8"?>
<sst xmlns="http://schemas.openxmlformats.org/spreadsheetml/2006/main" count="1193" uniqueCount="605">
  <si>
    <t>FECHA DE CAMBIO</t>
  </si>
  <si>
    <t xml:space="preserve"> GACETA</t>
  </si>
  <si>
    <t>Gasolina</t>
  </si>
  <si>
    <t>Diesel</t>
  </si>
  <si>
    <t>Kerosene</t>
  </si>
  <si>
    <t>Asfalto</t>
  </si>
  <si>
    <t>L.P.G</t>
  </si>
  <si>
    <t>Jet A-1</t>
  </si>
  <si>
    <t>Av-Gas</t>
  </si>
  <si>
    <t/>
  </si>
  <si>
    <t>C.Directo</t>
  </si>
  <si>
    <t>liviana</t>
  </si>
  <si>
    <t xml:space="preserve">17 DE DICIEMBRE 1998 </t>
  </si>
  <si>
    <t xml:space="preserve">12 DE FEBRERO 1999 </t>
  </si>
  <si>
    <t xml:space="preserve">18 DE MARZO 1999 </t>
  </si>
  <si>
    <t xml:space="preserve">13 DE ABRIL 1999 </t>
  </si>
  <si>
    <t xml:space="preserve">21 DE MAYO 1999 </t>
  </si>
  <si>
    <t>27 DE JULIO 1999</t>
  </si>
  <si>
    <t>24 DE AGOSTO, 1999</t>
  </si>
  <si>
    <t>14 DE SETIEMBRE, 1999</t>
  </si>
  <si>
    <t>7 DE OCTUBRE, 1999</t>
  </si>
  <si>
    <t>28 DE OCTUBRE, 1999</t>
  </si>
  <si>
    <t>24 DE NOVIEMBRE, 1999</t>
  </si>
  <si>
    <t>16 DE DICIEMBRE, 1999</t>
  </si>
  <si>
    <t>6 DE NOVIEMBRE 2001</t>
  </si>
  <si>
    <t>5 DE DICIEMBRE 2001</t>
  </si>
  <si>
    <t>16 DE MARZO, 2002</t>
  </si>
  <si>
    <t>01 DE JUNIO 2004</t>
  </si>
  <si>
    <t>16 DE JULIO 2004</t>
  </si>
  <si>
    <t>10 DE AGOSTO 2004</t>
  </si>
  <si>
    <t>27 DE OCTUBRE 2004</t>
  </si>
  <si>
    <t>09 DE NOVIEMBRE 2004</t>
  </si>
  <si>
    <t>23 DE DICIEMBRE 2004</t>
  </si>
  <si>
    <t>04 DE FEBRERO 2005</t>
  </si>
  <si>
    <t>10 DE MAYO 2005</t>
  </si>
  <si>
    <t>20 DE MAYO 2005</t>
  </si>
  <si>
    <t>08 DE JULIO 2005</t>
  </si>
  <si>
    <t>12 DE JULIO 2005</t>
  </si>
  <si>
    <t>19 DE AGOSTO 2005</t>
  </si>
  <si>
    <t>07 DE SETIEMBRE 2005</t>
  </si>
  <si>
    <t>23 DE SETIEMBRE 2005</t>
  </si>
  <si>
    <t>29 OCTUBRE DE  2005</t>
  </si>
  <si>
    <t>09 DE NOVIEMBRE 2005</t>
  </si>
  <si>
    <t>17 DE NOVIEMBRE 2005</t>
  </si>
  <si>
    <t>30 DE NOVIEMBRE 2005</t>
  </si>
  <si>
    <t xml:space="preserve">22 DE DICIEMBRE 2005 </t>
  </si>
  <si>
    <t>27 DE ENERO 2006</t>
  </si>
  <si>
    <t>17 DE FEBRERO 2006</t>
  </si>
  <si>
    <t>3 DE MARZO 2006</t>
  </si>
  <si>
    <t>29 DE MARZO 2006</t>
  </si>
  <si>
    <t>1 DE ABRIL 2006</t>
  </si>
  <si>
    <t>13 DE MAYO 2006</t>
  </si>
  <si>
    <t>4 DE JULIO 2006</t>
  </si>
  <si>
    <t>15 DE JULIO 2006</t>
  </si>
  <si>
    <t>10 DE AGOSTO 2006</t>
  </si>
  <si>
    <t>30 DE AGOSTO 2006</t>
  </si>
  <si>
    <t>18 DE AGOSTO 2006</t>
  </si>
  <si>
    <t>7 DE SETIEMBRE 2006</t>
  </si>
  <si>
    <t>14 DE SETIEMRE 2006</t>
  </si>
  <si>
    <t>22 DE SETIEMBRE 2006</t>
  </si>
  <si>
    <t>26 DE SETIEMBRE 20006</t>
  </si>
  <si>
    <t>4 DE OCTUBRE 2006</t>
  </si>
  <si>
    <t>10 DE OCTUBRE 2006</t>
  </si>
  <si>
    <t>27 DE OCTUBRE 2006</t>
  </si>
  <si>
    <t>7 DE NOVIEMBRE 2006</t>
  </si>
  <si>
    <t>14 DE NOVIEMBRE 2006</t>
  </si>
  <si>
    <t>17 DE NOVIEMBRE 2006</t>
  </si>
  <si>
    <t>Nafta</t>
  </si>
  <si>
    <t>C.Directos</t>
  </si>
  <si>
    <t>pesada</t>
  </si>
  <si>
    <t>30 DE ENERO 1991</t>
  </si>
  <si>
    <t>21 DE MARZO 1991</t>
  </si>
  <si>
    <t>27 DE MARZO 1991</t>
  </si>
  <si>
    <t>17 DE MAYO 1991</t>
  </si>
  <si>
    <t xml:space="preserve"> 36,800</t>
  </si>
  <si>
    <t>18 DE JUNIO 1991</t>
  </si>
  <si>
    <t>08 DE ENERO 1992</t>
  </si>
  <si>
    <t>04 DE MARZO 1992</t>
  </si>
  <si>
    <t>1 DE ABRIL 1992(a)</t>
  </si>
  <si>
    <t>1 DE ENERO 1993</t>
  </si>
  <si>
    <t>09 DE JUNIO 1993</t>
  </si>
  <si>
    <t>17 DE AGOSTO 1993</t>
  </si>
  <si>
    <t>1 DE ENERO 1994</t>
  </si>
  <si>
    <t>12 DE ENERO 1994</t>
  </si>
  <si>
    <t>26 DE JULIO 1994</t>
  </si>
  <si>
    <t>21 DE ABRIL 1995</t>
  </si>
  <si>
    <t>07 DE JULIO 1995</t>
  </si>
  <si>
    <t>24 DE AGOSTO 1995</t>
  </si>
  <si>
    <t>10 DE OCTUBRE 1995</t>
  </si>
  <si>
    <t>23 DE ABRIL 1996</t>
  </si>
  <si>
    <t>25 DE JUNIO 1996</t>
  </si>
  <si>
    <t>07 DE AGOSTO 1996</t>
  </si>
  <si>
    <t>03 DE ENERO 1997</t>
  </si>
  <si>
    <t>05 DE MARZO 1997</t>
  </si>
  <si>
    <t xml:space="preserve">19 DE MARZO 1997 </t>
  </si>
  <si>
    <t xml:space="preserve">07 DE ABRIL 1997 </t>
  </si>
  <si>
    <t xml:space="preserve">02 DE JULIO 1997 </t>
  </si>
  <si>
    <t xml:space="preserve">29 DE AGOSTO 1997 </t>
  </si>
  <si>
    <t xml:space="preserve">08 DE SETIEMBRE 1997 </t>
  </si>
  <si>
    <t xml:space="preserve">19 DE ENERO 1998 </t>
  </si>
  <si>
    <t xml:space="preserve">16 DE FEBRERO 1998 </t>
  </si>
  <si>
    <t xml:space="preserve">23 DE MARZO 1998 </t>
  </si>
  <si>
    <t>18  DE ENERO 2003</t>
  </si>
  <si>
    <t>27 DE ABRIL DEL 2004</t>
  </si>
  <si>
    <t>01 DE JUNIO DEL 2004</t>
  </si>
  <si>
    <t>10 DE AGOSTO DEL 2004</t>
  </si>
  <si>
    <t>14 DE SETIEMBRE DEL 2004</t>
  </si>
  <si>
    <t>24 DE MARZO 2005</t>
  </si>
  <si>
    <t>30 DE ABRIL 2005</t>
  </si>
  <si>
    <t>29 DE OCTUBRE 2005</t>
  </si>
  <si>
    <t>10 DE NOVIEMBRE 2005</t>
  </si>
  <si>
    <t>22 DE DICIEMBRE 2005</t>
  </si>
  <si>
    <t>03 DE MARZO 2006</t>
  </si>
  <si>
    <t>01 DE ABRIL 2006</t>
  </si>
  <si>
    <t>04 DE JULIO 2006</t>
  </si>
  <si>
    <t>14 DE SETIEMBRE 2006</t>
  </si>
  <si>
    <t>26 DE SETIEMBRE 2006</t>
  </si>
  <si>
    <t>IMPUESTOS POR PRODUCTO</t>
  </si>
  <si>
    <t>07 DE AGOSTO 2001</t>
  </si>
  <si>
    <t>05 DE NOV. 2001</t>
  </si>
  <si>
    <t>13  DE FEBRERO 2002</t>
  </si>
  <si>
    <t>14 DE MAYO 2002</t>
  </si>
  <si>
    <t>06 DE AGOSTO 2002</t>
  </si>
  <si>
    <t>18 DE FEBRERO 2003</t>
  </si>
  <si>
    <t>22 DE MAYO 2003</t>
  </si>
  <si>
    <t>15 DE AGOSTO 2003</t>
  </si>
  <si>
    <t>12 DE NOVIEMBRE 2003</t>
  </si>
  <si>
    <t>03 DE FEBRERO DE 2004</t>
  </si>
  <si>
    <t>07 DE MAYO DEL 2004</t>
  </si>
  <si>
    <t>04 DE FEBRERE 2005</t>
  </si>
  <si>
    <t>30 DE NOVIEMBRE2006</t>
  </si>
  <si>
    <t>30 DE NOVIEMBRE 2006</t>
  </si>
  <si>
    <t>5 DE DICIEMBRE 2006</t>
  </si>
  <si>
    <t>14 DE DICIEMBRE 2006</t>
  </si>
  <si>
    <t>16 DE DICIEMBRE 2006</t>
  </si>
  <si>
    <t>20 DE DICIEMBRE 2006</t>
  </si>
  <si>
    <t>10 DE ENERO 2007</t>
  </si>
  <si>
    <t>18 DE ENERO 2007</t>
  </si>
  <si>
    <t>17 DE ENERO 2007</t>
  </si>
  <si>
    <t>24 DE ENERO 2007</t>
  </si>
  <si>
    <t>26 DE ENERO 2007</t>
  </si>
  <si>
    <t>05 DE FEBRERO 2007</t>
  </si>
  <si>
    <t>05 DE FEBERO 2007</t>
  </si>
  <si>
    <t>22 DE FEBRERO 2007</t>
  </si>
  <si>
    <t>27 DE FEBRERO 2007</t>
  </si>
  <si>
    <t>08 DE MARZO 2007</t>
  </si>
  <si>
    <t>16 DE MARZO 2007</t>
  </si>
  <si>
    <t>14 DE ABRIL 2007</t>
  </si>
  <si>
    <t>28 DE FEBRERO 2007</t>
  </si>
  <si>
    <t>09 DE MARZO  2007</t>
  </si>
  <si>
    <t>22 DE MARZO 2007</t>
  </si>
  <si>
    <t>31 DE MARZO 2007</t>
  </si>
  <si>
    <t>26 DE ABRIL 2007</t>
  </si>
  <si>
    <t>28 DE ABRIL 2007</t>
  </si>
  <si>
    <t>18 DE MAYO 2007</t>
  </si>
  <si>
    <t>23 DE MARZO 2007</t>
  </si>
  <si>
    <t>07 DE JUNIO 2007</t>
  </si>
  <si>
    <t>07 DE JUNIO DEL 2007</t>
  </si>
  <si>
    <t>09 DE AGOSTO DEL 2007</t>
  </si>
  <si>
    <t>09 DE AGOSTO 2007</t>
  </si>
  <si>
    <t>18 DE AGOSTO DEL 2007</t>
  </si>
  <si>
    <t>21 DE SETIEMBRE DEL 2007</t>
  </si>
  <si>
    <t>13 DE OCTUBRE DEL 2007</t>
  </si>
  <si>
    <t>08 DE OCTUBRE 2007</t>
  </si>
  <si>
    <t>08 DE OCTUBREL DEL 2007</t>
  </si>
  <si>
    <t>17 DE OCTUBRE 2007</t>
  </si>
  <si>
    <t>17 DE OCTUBRE DEL 2007</t>
  </si>
  <si>
    <t>24 DE NOVIEMBRE 2007</t>
  </si>
  <si>
    <t>24 DE NOVIEMBRE DEL 2007</t>
  </si>
  <si>
    <t>10 DE DICIEMBRE 2007</t>
  </si>
  <si>
    <t>10 DE DICIEMBRE DEL 2007</t>
  </si>
  <si>
    <t>22 DE ENERO DEL 2008</t>
  </si>
  <si>
    <t>22 DE ENERO 2008</t>
  </si>
  <si>
    <t>14 DE FEBRERO DEL 2008</t>
  </si>
  <si>
    <t>14 DE FEBRERO 2008</t>
  </si>
  <si>
    <t>23 DE FEBRERO 2008</t>
  </si>
  <si>
    <t>23 DE FEBRERO DEL 2008</t>
  </si>
  <si>
    <t>06 DE MARZO 2008</t>
  </si>
  <si>
    <t>06 DE MARZO DEL 2008</t>
  </si>
  <si>
    <t>22 DE ABRIL 2008</t>
  </si>
  <si>
    <t>22 DE ABRIL DEL 2008</t>
  </si>
  <si>
    <t>17 DE MAYO DEL 2008</t>
  </si>
  <si>
    <t>17 DE MAYO 2008</t>
  </si>
  <si>
    <t>10 DE JUNIO DEL 2008</t>
  </si>
  <si>
    <t>10 DE JUNIO 2008</t>
  </si>
  <si>
    <t>15 DE JULIO DEL 2008</t>
  </si>
  <si>
    <t>15 DE JULIO 2008</t>
  </si>
  <si>
    <t>13 DE AGOSTO 2008</t>
  </si>
  <si>
    <t>13 DE AGOSTO DEL 2008</t>
  </si>
  <si>
    <t>30 DE AGOSTO DEL 2008</t>
  </si>
  <si>
    <t>11 DE SETIEMBRE 2008</t>
  </si>
  <si>
    <t>11 DE SETIEMBRE DEL 2008</t>
  </si>
  <si>
    <t>30 DE AGOSTO 2008</t>
  </si>
  <si>
    <t>14 DE OCTUBRE DEL 2008</t>
  </si>
  <si>
    <t>14 DE OCTUBRE 2008</t>
  </si>
  <si>
    <t>6 DE NOVIEMBRE 2008</t>
  </si>
  <si>
    <t>06 DE NOVIEMBRE DEL 2008</t>
  </si>
  <si>
    <t>21 DE NOVIEMBRE 2008</t>
  </si>
  <si>
    <t>21 DE NOVIEMBRE DEL 2008</t>
  </si>
  <si>
    <t>24 DE NOVIEMBRE DEL 2008</t>
  </si>
  <si>
    <t>25 DE NOVIEMBRE 2008</t>
  </si>
  <si>
    <t>12 DE DICIEMBRE 2008</t>
  </si>
  <si>
    <t>12 DE DICIEMBRE DEL 2008</t>
  </si>
  <si>
    <t>20 DE ENERO 2009</t>
  </si>
  <si>
    <t>20 DE ENERO DEL 2009</t>
  </si>
  <si>
    <t>13 DE FEBRERO DEL 2009</t>
  </si>
  <si>
    <t>21 DE FEBRERO DEL 2009</t>
  </si>
  <si>
    <t>20 DE MARZO DEL 2009</t>
  </si>
  <si>
    <t>15 DE ABRIL DEL 2009</t>
  </si>
  <si>
    <t>23 DE MAYO DEL 2009</t>
  </si>
  <si>
    <t>13 DE JUNIO DEL 2009</t>
  </si>
  <si>
    <t>21 DE MAYO 1999</t>
  </si>
  <si>
    <t>18 DE MARZO 1999</t>
  </si>
  <si>
    <t>13 ABRIL 1999 (H)</t>
  </si>
  <si>
    <t>13 DE FEBEBRO 1991</t>
  </si>
  <si>
    <t>20 DE FEBRERO 1991</t>
  </si>
  <si>
    <t>09 DE NOVIEMBRE 1991</t>
  </si>
  <si>
    <t>27 DE FEBRERO 1992</t>
  </si>
  <si>
    <t>21 DE OCTUBRE 1992(a)</t>
  </si>
  <si>
    <t>24 DE FEBRERO 1993</t>
  </si>
  <si>
    <t>24 DE NOVIEMBRE 1994</t>
  </si>
  <si>
    <t>18 DE NOVIEMBRE 1995</t>
  </si>
  <si>
    <t>20 DE SETIEMBRE 1996</t>
  </si>
  <si>
    <t xml:space="preserve">19 DE NOVIEMBRE 1996 </t>
  </si>
  <si>
    <t>30 DE JUNIO 1998</t>
  </si>
  <si>
    <t>10 DE JULIO 1998</t>
  </si>
  <si>
    <t xml:space="preserve">25 DE AGOSTO 1998 </t>
  </si>
  <si>
    <t xml:space="preserve">18  SETIEMBRE 1998 </t>
  </si>
  <si>
    <t>24 DE JUNIO 1999</t>
  </si>
  <si>
    <t>24 DE AGOSTO 1999</t>
  </si>
  <si>
    <t>14 DE SETIEMBRE 1999</t>
  </si>
  <si>
    <t>7 DE OCTUBRE 1999</t>
  </si>
  <si>
    <t>20 DE OCTUBRE 1999</t>
  </si>
  <si>
    <t>28 DE OCTUBRE 1999</t>
  </si>
  <si>
    <t>24 DE NOVIEMBRE 1999</t>
  </si>
  <si>
    <t>16 DE DICIEMBRE 1999</t>
  </si>
  <si>
    <t>3 DE FEBRERO 2000</t>
  </si>
  <si>
    <t>2 DE MARZO 2000</t>
  </si>
  <si>
    <t>14 DE MARZO 2000</t>
  </si>
  <si>
    <t>12 DE ABRIL 2000</t>
  </si>
  <si>
    <t>1 DE JUNIO 2000</t>
  </si>
  <si>
    <t>8 DE SETIEMBRE 2000</t>
  </si>
  <si>
    <t>10 DE OCTUBRE 2000</t>
  </si>
  <si>
    <t>24 DE NOVIEMBRE 2000</t>
  </si>
  <si>
    <t>18 DE DICIEMBRE 2000</t>
  </si>
  <si>
    <t>08 DE ENERO 2001</t>
  </si>
  <si>
    <t>06 DE FEBRERO 2001</t>
  </si>
  <si>
    <t>5 DE MARZO 2001</t>
  </si>
  <si>
    <t>2 DE ABRIL 2001</t>
  </si>
  <si>
    <t>26 DE ABRIL 2001</t>
  </si>
  <si>
    <t>30 DE ABRIL 2001</t>
  </si>
  <si>
    <t>10 DE JULIO 2001</t>
  </si>
  <si>
    <t>1 DE AGOSTO 2001</t>
  </si>
  <si>
    <t>8 DE AGOSTO 2001</t>
  </si>
  <si>
    <t>13 DE SETIEMBRE 2001</t>
  </si>
  <si>
    <t>11 DE OCTUBRE 2001</t>
  </si>
  <si>
    <t>4 DE ENERO 2002</t>
  </si>
  <si>
    <t>7 DE FEBRERO 2002</t>
  </si>
  <si>
    <t>13 DE FEBRERO 2002</t>
  </si>
  <si>
    <t>16 DE MARZO 2002</t>
  </si>
  <si>
    <t>4 DE ABRIL 2002</t>
  </si>
  <si>
    <t>23 DE ABRIL 2002</t>
  </si>
  <si>
    <t>04 DE DICIEMBRE 2002</t>
  </si>
  <si>
    <t>05 DE NOVIEMBRE 2002</t>
  </si>
  <si>
    <t>20 DE SETIEMBRE 2002</t>
  </si>
  <si>
    <t>6 DE AGOSTO 2002</t>
  </si>
  <si>
    <t xml:space="preserve"> 11 DE ENERO 1991</t>
  </si>
  <si>
    <t>21 DE MARZO 2003</t>
  </si>
  <si>
    <t>24 DE ABRIL 2003</t>
  </si>
  <si>
    <t>28 DE JUNIO 2003</t>
  </si>
  <si>
    <t>30 DE JULIO 2003</t>
  </si>
  <si>
    <t>11 DE OCTUBRE 2003</t>
  </si>
  <si>
    <t>22 DE ENERO 2004</t>
  </si>
  <si>
    <t>04 DE FEBRERO 2004</t>
  </si>
  <si>
    <t>25 DE FEBRERO 2004</t>
  </si>
  <si>
    <t>12 DE ABRIL 2007</t>
  </si>
  <si>
    <t>16 DE NOVIEMBRE 1998</t>
  </si>
  <si>
    <t>01 DE AGOSTO 2001</t>
  </si>
  <si>
    <t xml:space="preserve">04 DE NOVIEMBRE 2002 </t>
  </si>
  <si>
    <t>18 DE AGOSTO DE 2007</t>
  </si>
  <si>
    <t>21 DE SETIEMBRRE DE 2007</t>
  </si>
  <si>
    <t>13 DE OCTUBRE DE 2007</t>
  </si>
  <si>
    <t>09 DE OCTUBRE DE 2007</t>
  </si>
  <si>
    <t>17 DE NOVIEMBRE DE 2007</t>
  </si>
  <si>
    <t>24 DE NOVIEMBRE DE 2007</t>
  </si>
  <si>
    <t>10 DE DICIEMBRE DE 2007</t>
  </si>
  <si>
    <t>22 DE ENERO DE 2008</t>
  </si>
  <si>
    <t>14 DE FEBRERO DE 2008</t>
  </si>
  <si>
    <t>23 DE FEBRERO DE 2008</t>
  </si>
  <si>
    <t>06 DE MARZO DE 2008</t>
  </si>
  <si>
    <t>22 DE ABRIL DE 2008</t>
  </si>
  <si>
    <t>17 DE MAYO DE 2008</t>
  </si>
  <si>
    <t>10 DE JUNIO DE 2008</t>
  </si>
  <si>
    <t>15 DE JULIO DE 2008</t>
  </si>
  <si>
    <t>13 DE AGOSTO DE 2008</t>
  </si>
  <si>
    <t>30 DE AGOSTO DE 2008</t>
  </si>
  <si>
    <t>11 DE SETIEMBRE DE 2008</t>
  </si>
  <si>
    <t>14 DE OCTUBRE DE 2008</t>
  </si>
  <si>
    <t>06 DE NOVIEMBRE DE 2008</t>
  </si>
  <si>
    <t>21 DE NOVIEMBRE DE 2008</t>
  </si>
  <si>
    <t>25 DE NOVIEMBRE DE 2008</t>
  </si>
  <si>
    <t>12 DE DICIEMBRE DE 2008</t>
  </si>
  <si>
    <t>20 DE ENERO DE 2009</t>
  </si>
  <si>
    <t>13 DE FEBRERO DE 2009</t>
  </si>
  <si>
    <t>21 DE FEBRERO DE 2009</t>
  </si>
  <si>
    <t>20 DE MARZO DE 2009</t>
  </si>
  <si>
    <t>15 DE ABRIL DE 2009</t>
  </si>
  <si>
    <t>23 DE MAYO DE 2009</t>
  </si>
  <si>
    <t>13 DE JUNIO DE 2009</t>
  </si>
  <si>
    <t>18 DE MAYO 2000</t>
  </si>
  <si>
    <t>O4 DE ENERO 2002</t>
  </si>
  <si>
    <t>07 DE FEBRERO 2002</t>
  </si>
  <si>
    <t>04 DE ABRIL 2002</t>
  </si>
  <si>
    <t>18 DE ENERO 2003</t>
  </si>
  <si>
    <t>27 DE ABRIL 2004</t>
  </si>
  <si>
    <t>07 DE MAYO 2004</t>
  </si>
  <si>
    <t>14 DE SETIEMBRE 2004</t>
  </si>
  <si>
    <t>18 DE AGOSTO 2007</t>
  </si>
  <si>
    <t>21 DE SETIEMBRE 2007</t>
  </si>
  <si>
    <t>13 DE OCTUBRE 2007</t>
  </si>
  <si>
    <t>17 DE JULIO DEL 2009</t>
  </si>
  <si>
    <t>12 DE AGOSTO DEL 2009</t>
  </si>
  <si>
    <t>18 DE SETIEMBRE DEL 2009</t>
  </si>
  <si>
    <t>08 DE OCTUBRE DEL 2009</t>
  </si>
  <si>
    <t>06 DE NOVIEMBRE DEL 2009</t>
  </si>
  <si>
    <t>12 DE DICIEMBRE 2009</t>
  </si>
  <si>
    <t>12 DE DICIEMBRE DEL 2009</t>
  </si>
  <si>
    <t>17 DE FEBRERO 2010</t>
  </si>
  <si>
    <t>17 DE FEBRERO DEL 2010</t>
  </si>
  <si>
    <t>18 DE MARZO 2010</t>
  </si>
  <si>
    <t>18 DE MARZO DEL 2010</t>
  </si>
  <si>
    <t>21 DE ABRIL 2010</t>
  </si>
  <si>
    <t>21 DE ABRIL DEL 2010</t>
  </si>
  <si>
    <t>06 DE MAYO DEL 2010</t>
  </si>
  <si>
    <t>06 DE MAYO 2010</t>
  </si>
  <si>
    <t>22 DE MAYO DEL 2010</t>
  </si>
  <si>
    <t>22 DE MAYO 2010</t>
  </si>
  <si>
    <t>16 DE JUNIO DEL 2010</t>
  </si>
  <si>
    <t>16 DE JUNIO 2010</t>
  </si>
  <si>
    <t>16 DE JULIO DEL 2010</t>
  </si>
  <si>
    <t>16 DE JULIO 2010</t>
  </si>
  <si>
    <t>13 DE AGOSTO 2010</t>
  </si>
  <si>
    <t>13 DE AGOSTO DEL 2010</t>
  </si>
  <si>
    <t>18 DE AGOSTO 2010</t>
  </si>
  <si>
    <t>18 DE AGOSTO DEL 2010</t>
  </si>
  <si>
    <t>15 DE SETIEMBRE 2010</t>
  </si>
  <si>
    <t>15 DE SETIEMBRE DEL 2010</t>
  </si>
  <si>
    <t>08 DE OCTUBRE DEL 2010</t>
  </si>
  <si>
    <t>13 DE FEBRERO 2009</t>
  </si>
  <si>
    <t>21 DE FEBRERO 2009</t>
  </si>
  <si>
    <t>20 DE MARZO 2009</t>
  </si>
  <si>
    <t>15 DE ABRIL 2009</t>
  </si>
  <si>
    <t>23 DE MAYO 2009</t>
  </si>
  <si>
    <t>13 DE JUNIO 2009</t>
  </si>
  <si>
    <t>17 DE JULIO 2009</t>
  </si>
  <si>
    <t>12 DE AGOSTO 2009</t>
  </si>
  <si>
    <t>18 DE SETIEMBRE 2009</t>
  </si>
  <si>
    <t>08 DE OCTUBRE 2009</t>
  </si>
  <si>
    <t>06 DE NOVIEMBRE 2009</t>
  </si>
  <si>
    <t>22 DE  MAYO DEL 2010</t>
  </si>
  <si>
    <t>08 DE OCTUBRE 2010</t>
  </si>
  <si>
    <t>18 DE NOVIEMBRE 2010</t>
  </si>
  <si>
    <t>18 DE NOVIEMBRE DEL 2010</t>
  </si>
  <si>
    <t>10 DE DICIEMBRE 2010</t>
  </si>
  <si>
    <t>10 DE DICIEMBRE DEL 2010</t>
  </si>
  <si>
    <t>21 DE DICIEMBRE 2010</t>
  </si>
  <si>
    <t>21 DE DICIEMBRE DEL 2010</t>
  </si>
  <si>
    <t>25 DE ENERO 2011</t>
  </si>
  <si>
    <t>22 DE FEBRERO 2011</t>
  </si>
  <si>
    <t>26 DE FEBRERO 2011</t>
  </si>
  <si>
    <t>24 DE MARZO 2011</t>
  </si>
  <si>
    <t>25 DE MARZO 2011</t>
  </si>
  <si>
    <t>16 DE ABRIL 2011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</si>
  <si>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</si>
  <si>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</si>
  <si>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</si>
  <si>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</si>
  <si>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</si>
  <si>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</si>
  <si>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</si>
  <si>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</si>
  <si>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 xml:space="preserve">27 DE DICIEMBRE 2011 </t>
  </si>
  <si>
    <t>02 DE FEBRERO 2012</t>
  </si>
  <si>
    <t>22 DE MARZO 2012</t>
  </si>
  <si>
    <t>27 DE ABRIL 2012</t>
  </si>
  <si>
    <t>27 DE ABRIL DEL 2012</t>
  </si>
  <si>
    <t>07 DE JULIO 2012</t>
  </si>
  <si>
    <t>07 DE JULIO DEL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</si>
  <si>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</si>
  <si>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</si>
  <si>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</si>
  <si>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</si>
  <si>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</si>
  <si>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</si>
  <si>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</si>
  <si>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25 DE DICEMBRE 2012</t>
  </si>
  <si>
    <t>06 DE FEBRERO 2013</t>
  </si>
  <si>
    <t>26 DE FEBRERO 2013</t>
  </si>
  <si>
    <t>04 DE ABRIL 2013</t>
  </si>
  <si>
    <t>01 DE MARZO 2013</t>
  </si>
  <si>
    <t>26 DE MARZO 2013</t>
  </si>
  <si>
    <t>01 DE MAYO 2013</t>
  </si>
  <si>
    <t>21 DE MAYO 2013</t>
  </si>
  <si>
    <t xml:space="preserve"> 31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</si>
  <si>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</si>
  <si>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</si>
  <si>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</si>
  <si>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</si>
  <si>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</si>
  <si>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</si>
  <si>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</si>
  <si>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2013</t>
  </si>
  <si>
    <t>04 DE OCTUBRE 2013</t>
  </si>
  <si>
    <t>01 DE NOVIEMBRE 2013</t>
  </si>
  <si>
    <t>27 DE NOVIEMBRE 2013</t>
  </si>
  <si>
    <t>30 DE NOVIEMBRE 2013</t>
  </si>
  <si>
    <t>30 DE NOVIEMBRE DEL 2013</t>
  </si>
  <si>
    <t>22 DE ENERO 2014</t>
  </si>
  <si>
    <t>22 DE ENERO DEL 2014</t>
  </si>
  <si>
    <t>07 DE FEBRERO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</si>
  <si>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</si>
  <si>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</si>
  <si>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</si>
  <si>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</si>
  <si>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</si>
  <si>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</si>
  <si>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</si>
  <si>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</si>
  <si>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</si>
  <si>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</si>
  <si>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</si>
  <si>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</si>
  <si>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</si>
  <si>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</si>
  <si>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</si>
  <si>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</si>
  <si>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08  DE NOVIEMBRE DEL 2014</t>
  </si>
  <si>
    <t>15 DE ENERO DEL 2015</t>
  </si>
  <si>
    <t>28 DE ENERO DEL 2015</t>
  </si>
  <si>
    <t>06 DE FEBRERO DEL 2015</t>
  </si>
  <si>
    <t>10 DE MARZO DEL 2015</t>
  </si>
  <si>
    <t>09  DE ABRIL DEL 2015</t>
  </si>
  <si>
    <t>09 DE ABRIL DEL 2015</t>
  </si>
  <si>
    <t>29 DE ABRIL DEL 2015</t>
  </si>
  <si>
    <t>29  DE ABRIL DEL 2015</t>
  </si>
  <si>
    <t>29 DE MAYO DEL 2015</t>
  </si>
  <si>
    <t>29  DE MAYO DEL 2015</t>
  </si>
  <si>
    <t>3 DE JULIO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</si>
  <si>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</si>
  <si>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</si>
  <si>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</si>
  <si>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</si>
  <si>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</si>
  <si>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</si>
  <si>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</si>
  <si>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</si>
  <si>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 xml:space="preserve"> 06 DE NOVIEMBRE DEL 2015</t>
  </si>
  <si>
    <t>06 DE NOVIEMBRE DEL 2015</t>
  </si>
  <si>
    <t xml:space="preserve"> 06 DE FEBRERO DEL 2016</t>
  </si>
  <si>
    <t>06 DE FEBRERO DEL 2016</t>
  </si>
  <si>
    <t>10 DE FEBRERO DEL 2016</t>
  </si>
  <si>
    <t>03 DE MARZO DEL 2016</t>
  </si>
  <si>
    <t>06 DE ABRIL DEL 2016</t>
  </si>
  <si>
    <t>29 DE ABRIL DEL 2016</t>
  </si>
  <si>
    <t>06  DE MAYO DEL 2016</t>
  </si>
  <si>
    <t>06 DE MAYO DEL 2016</t>
  </si>
  <si>
    <t>PRECIOS VENTA EN PLANTELES</t>
  </si>
  <si>
    <t>PRECIOS COMBUSTIBLES SIN IMPUESTOS</t>
  </si>
  <si>
    <t>Plus 91</t>
  </si>
  <si>
    <t>Gasoleo</t>
  </si>
  <si>
    <t>Asfáltica</t>
  </si>
  <si>
    <t xml:space="preserve"> Emulsión </t>
  </si>
  <si>
    <t>Súper</t>
  </si>
  <si>
    <t>Bajo azufre</t>
  </si>
  <si>
    <t>Búnker</t>
  </si>
  <si>
    <t>Diesel Pesado</t>
  </si>
  <si>
    <t>Gasóleo</t>
  </si>
  <si>
    <t xml:space="preserve">Gasolina </t>
  </si>
  <si>
    <t xml:space="preserve">Diesel </t>
  </si>
  <si>
    <t xml:space="preserve">Búnker </t>
  </si>
  <si>
    <t xml:space="preserve">  Asfáltica</t>
  </si>
  <si>
    <t xml:space="preserve">Nafta </t>
  </si>
  <si>
    <t>Liviana</t>
  </si>
  <si>
    <t>Pesada</t>
  </si>
  <si>
    <t>Super</t>
  </si>
  <si>
    <t>03 DE JUNIO DEL 2016</t>
  </si>
  <si>
    <t>03  DE JUNIO DEL 2016</t>
  </si>
  <si>
    <t>01  DE JULIO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</si>
  <si>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</si>
  <si>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</si>
  <si>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</si>
  <si>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</si>
  <si>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</si>
  <si>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</si>
  <si>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</si>
  <si>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</si>
  <si>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05 ENERO DEL 2017</t>
  </si>
  <si>
    <t>02 DE FEBRERO 2017</t>
  </si>
  <si>
    <t>02 DE FEBRERO DEL 2017</t>
  </si>
  <si>
    <t>06 DE FEBRERO DEL 2017</t>
  </si>
  <si>
    <t>06 DE FEBRERO 2017</t>
  </si>
  <si>
    <t>01 DE MARZO 2017</t>
  </si>
  <si>
    <t>14 DE MARZO 2017</t>
  </si>
  <si>
    <t>30 DE MARZO DEL 2017</t>
  </si>
  <si>
    <t>04 DE MAYO DEL 2017</t>
  </si>
  <si>
    <t>30 DE MAYO DEL 2017</t>
  </si>
  <si>
    <t>29 DE JUNIO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</si>
  <si>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</si>
  <si>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</si>
  <si>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</si>
  <si>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</si>
  <si>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</si>
  <si>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</si>
  <si>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</si>
  <si>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</si>
  <si>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</si>
  <si>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 xml:space="preserve">31 DE ENERO DEL 2018 </t>
  </si>
  <si>
    <t>06 DE FEBRERO DEL 2018</t>
  </si>
  <si>
    <t>01 DE MARZO DEL 2018</t>
  </si>
  <si>
    <t xml:space="preserve">01 DE MARZO DEL 2018 </t>
  </si>
  <si>
    <t>04 DE ABRIL DEL 2018</t>
  </si>
  <si>
    <t xml:space="preserve">04 DE ABRIL DEL 2018 </t>
  </si>
  <si>
    <t>03 DE MAYO DEL 2018</t>
  </si>
  <si>
    <t xml:space="preserve">03 DE MAYO DEL 2018 </t>
  </si>
  <si>
    <t xml:space="preserve">31 DE MAYO DEL 2018 </t>
  </si>
  <si>
    <t>31 DE MAYO DEL 2018</t>
  </si>
  <si>
    <t>28 DE JUNIO DEL 2018</t>
  </si>
  <si>
    <t xml:space="preserve">28 DE JUNIO DEL 2018 </t>
  </si>
  <si>
    <t>01 DE AGOSTO DEL 2018</t>
  </si>
  <si>
    <t xml:space="preserve">01 DE AGOSTO DEL 2018 </t>
  </si>
  <si>
    <t>03 DE SETIEMBRE DEL 2018</t>
  </si>
  <si>
    <t xml:space="preserve">03 DE SETIEMBRE DEL 2018 </t>
  </si>
  <si>
    <t>03 DE OCTUBRE DEL 2018</t>
  </si>
  <si>
    <t xml:space="preserve">03 DE OCTUBRE DEL 2018 </t>
  </si>
  <si>
    <t>02 DE NOVIEMBRE DEL 2018</t>
  </si>
  <si>
    <t xml:space="preserve">02 DE NOVIEMBRE DEL 2018 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</si>
  <si>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</si>
  <si>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</si>
  <si>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</si>
  <si>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</si>
  <si>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</si>
  <si>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</si>
  <si>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</si>
  <si>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</si>
  <si>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</si>
  <si>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</si>
  <si>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</si>
  <si>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</si>
  <si>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</si>
  <si>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 xml:space="preserve"> </t>
  </si>
  <si>
    <t>13 DE AGOSTO DEL 2019</t>
  </si>
  <si>
    <t>28 DE AGOSTO DEL 2019</t>
  </si>
  <si>
    <t>02 DE OCTUBRE DEL 2019</t>
  </si>
  <si>
    <t>04 DE NOVIEMBRE DEL 2019</t>
  </si>
  <si>
    <t>08 DE NOVIEMBRE DEL 2019</t>
  </si>
  <si>
    <t>27 DE NOVIEMBRE DEL 2019</t>
  </si>
  <si>
    <t>19 DE DICIEMBRE DEL 2019</t>
  </si>
  <si>
    <t>13 DE ENERO DEL 2020</t>
  </si>
  <si>
    <t>31 DE ENERO DEL 2020</t>
  </si>
  <si>
    <t>04 DE MARZO DEL 2020</t>
  </si>
  <si>
    <t>28 DE MARZO DEL 2020</t>
  </si>
  <si>
    <t>28 DE ABRIL DEL 2020</t>
  </si>
  <si>
    <t>08 DE MAYO DEL 2020</t>
  </si>
  <si>
    <t>15 DE MAYO DEL 2020</t>
  </si>
  <si>
    <t>28 DE MAYO DEL 2020</t>
  </si>
  <si>
    <t>20 DE JUNIO DEL 2020</t>
  </si>
  <si>
    <t>20 DE JUINIO DEL 2020</t>
  </si>
  <si>
    <t>01 DE JULIO DEL 2020</t>
  </si>
  <si>
    <t>16 DE JULIO DEL 2020</t>
  </si>
  <si>
    <t>25 DE JULIO DEL 2020</t>
  </si>
  <si>
    <t>03 DE AGOSTO DEL 2020</t>
  </si>
  <si>
    <t>02 DE SETIEMBRE DEL 2020</t>
  </si>
  <si>
    <t>30 DE SETIEMBRE DEL 2020</t>
  </si>
  <si>
    <t>27 DE OCTUBRE DEL 2020</t>
  </si>
  <si>
    <t>06 DE NOVIEMBRE DEL 2020</t>
  </si>
  <si>
    <t>01 DE DICIEMBRE DEL 2020</t>
  </si>
  <si>
    <t>16 DE DICIEMBRE DEL 2020</t>
  </si>
  <si>
    <t>11 DE ENERO DEL 2021</t>
  </si>
  <si>
    <t>28 DE ENERO DEL 2021</t>
  </si>
  <si>
    <t>09 DE FEBRERO DEL 2021</t>
  </si>
  <si>
    <t>02 DE MARZO DEL 2021</t>
  </si>
  <si>
    <t>06 DE ABRIL DEL 2021</t>
  </si>
  <si>
    <t>27 DE ABRIL DEL 2021</t>
  </si>
  <si>
    <t>01 DE MAYO DEL 2021</t>
  </si>
  <si>
    <t>02 DE JUNIO DEL 2021</t>
  </si>
  <si>
    <t>14 DE JUNIO DEL 2021</t>
  </si>
  <si>
    <t>12 DE AGOSTO DEL 2021</t>
  </si>
  <si>
    <t>28 DE JULIO DEL 2021</t>
  </si>
  <si>
    <t>29 DE JUNIO DEL 2021</t>
  </si>
  <si>
    <t>31 DE AGOSTO DEL 2021</t>
  </si>
  <si>
    <t>29 DE SETIEMBRE DEL 2021</t>
  </si>
  <si>
    <t>27 DE OCTUBRE DEL 2021</t>
  </si>
  <si>
    <t>12 DE NOVIEMBRE DEL 2021</t>
  </si>
  <si>
    <t>01 DE DICIEMBRE DEL 2021</t>
  </si>
  <si>
    <t>23 DE DICIEMBRE DEL 2021</t>
  </si>
  <si>
    <t>.</t>
  </si>
  <si>
    <t>14 DE ENERO DEL 2022</t>
  </si>
  <si>
    <t>01 DE FEBRERO DEL 2022</t>
  </si>
  <si>
    <t>10 DE FEBRERO DEL 2022</t>
  </si>
  <si>
    <t>01 DE MARZO DEL 2022</t>
  </si>
  <si>
    <t>31 DE MARZO DEL 2022</t>
  </si>
  <si>
    <t>04 DE MAYO DEL 2022</t>
  </si>
  <si>
    <t>04 DE MAYO 2022</t>
  </si>
  <si>
    <t>17 DE MAYO DEL 2022</t>
  </si>
  <si>
    <t>17 DE MAYO 2022</t>
  </si>
</sst>
</file>

<file path=xl/styles.xml><?xml version="1.0" encoding="utf-8"?>
<styleSheet xmlns="http://schemas.openxmlformats.org/spreadsheetml/2006/main">
  <numFmts count="4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_);\(#,##0.000\)"/>
    <numFmt numFmtId="179" formatCode="0.000_)"/>
    <numFmt numFmtId="180" formatCode="#,##0.0000_);\(#,##0.0000\)"/>
    <numFmt numFmtId="181" formatCode="0.000"/>
    <numFmt numFmtId="182" formatCode="_(* #,##0.0000_);_(* \(#,##0.0000\);_(* &quot;-&quot;??_);_(@_)"/>
    <numFmt numFmtId="183" formatCode="0.0000"/>
    <numFmt numFmtId="184" formatCode="0.0"/>
    <numFmt numFmtId="185" formatCode="[$-140A]dddd\,\ dd&quot; de &quot;mmmm&quot; de &quot;yyyy"/>
    <numFmt numFmtId="186" formatCode="[$-F800]dddd\,\ mmmm\ dd\,\ yyyy"/>
    <numFmt numFmtId="187" formatCode="[$-140A]d&quot; de &quot;mmmm&quot; de &quot;yyyy;@"/>
    <numFmt numFmtId="188" formatCode="#,##0.000;[Red]#,##0.000"/>
    <numFmt numFmtId="189" formatCode="#,##0.0"/>
    <numFmt numFmtId="190" formatCode="#,##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140A]hh:mm:ss\ AM/PM"/>
    <numFmt numFmtId="196" formatCode="&quot;₡&quot;#,##0.0000"/>
    <numFmt numFmtId="197" formatCode="0.0000%"/>
    <numFmt numFmtId="198" formatCode="_(* #,##0.0000_);_(* \(#,##0.0000\);_(* &quot;-&quot;????_);_(@_)"/>
    <numFmt numFmtId="199" formatCode="&quot;₡&quot;#,##0.00"/>
    <numFmt numFmtId="200" formatCode="#,##0.0000"/>
  </numFmts>
  <fonts count="54">
    <font>
      <sz val="10"/>
      <name val="Arial"/>
      <family val="0"/>
    </font>
    <font>
      <sz val="12"/>
      <name val="Courier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Verdana"/>
      <family val="2"/>
    </font>
    <font>
      <b/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3" fontId="0" fillId="0" borderId="0" xfId="0" applyNumberFormat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183" fontId="5" fillId="0" borderId="10" xfId="48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83" fontId="5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2" fillId="33" borderId="12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 wrapText="1"/>
      <protection locked="0"/>
    </xf>
    <xf numFmtId="182" fontId="7" fillId="0" borderId="14" xfId="48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183" fontId="6" fillId="0" borderId="16" xfId="0" applyNumberFormat="1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/>
      <protection/>
    </xf>
    <xf numFmtId="183" fontId="7" fillId="0" borderId="10" xfId="0" applyNumberFormat="1" applyFont="1" applyFill="1" applyBorder="1" applyAlignment="1" applyProtection="1">
      <alignment horizontal="center"/>
      <protection/>
    </xf>
    <xf numFmtId="183" fontId="7" fillId="0" borderId="11" xfId="0" applyNumberFormat="1" applyFont="1" applyFill="1" applyBorder="1" applyAlignment="1" applyProtection="1">
      <alignment horizontal="center"/>
      <protection/>
    </xf>
    <xf numFmtId="183" fontId="7" fillId="0" borderId="17" xfId="0" applyNumberFormat="1" applyFont="1" applyFill="1" applyBorder="1" applyAlignment="1" applyProtection="1">
      <alignment horizontal="center"/>
      <protection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53" fillId="33" borderId="20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21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183" fontId="9" fillId="0" borderId="14" xfId="0" applyNumberFormat="1" applyFont="1" applyFill="1" applyBorder="1" applyAlignment="1" applyProtection="1">
      <alignment horizontal="center"/>
      <protection locked="0"/>
    </xf>
    <xf numFmtId="183" fontId="9" fillId="0" borderId="15" xfId="0" applyNumberFormat="1" applyFont="1" applyFill="1" applyBorder="1" applyAlignment="1" applyProtection="1">
      <alignment horizontal="center"/>
      <protection locked="0"/>
    </xf>
    <xf numFmtId="183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83" fontId="9" fillId="0" borderId="10" xfId="0" applyNumberFormat="1" applyFont="1" applyFill="1" applyBorder="1" applyAlignment="1" applyProtection="1">
      <alignment horizontal="center"/>
      <protection locked="0"/>
    </xf>
    <xf numFmtId="183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 applyProtection="1">
      <alignment horizontal="center"/>
      <protection/>
    </xf>
    <xf numFmtId="183" fontId="9" fillId="0" borderId="16" xfId="0" applyNumberFormat="1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>
      <alignment horizontal="center"/>
    </xf>
    <xf numFmtId="183" fontId="9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183" fontId="5" fillId="0" borderId="10" xfId="0" applyNumberFormat="1" applyFont="1" applyFill="1" applyBorder="1" applyAlignment="1" applyProtection="1">
      <alignment horizontal="center"/>
      <protection/>
    </xf>
    <xf numFmtId="183" fontId="5" fillId="0" borderId="16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183" fontId="5" fillId="0" borderId="16" xfId="0" applyNumberFormat="1" applyFont="1" applyBorder="1" applyAlignment="1">
      <alignment horizontal="center"/>
    </xf>
    <xf numFmtId="183" fontId="5" fillId="0" borderId="1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3" fontId="5" fillId="0" borderId="11" xfId="0" applyNumberFormat="1" applyFont="1" applyFill="1" applyBorder="1" applyAlignment="1">
      <alignment horizontal="center"/>
    </xf>
    <xf numFmtId="183" fontId="5" fillId="0" borderId="2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83" fontId="53" fillId="33" borderId="11" xfId="0" applyNumberFormat="1" applyFont="1" applyFill="1" applyBorder="1" applyAlignment="1" applyProtection="1">
      <alignment horizontal="center"/>
      <protection locked="0"/>
    </xf>
    <xf numFmtId="0" fontId="53" fillId="33" borderId="13" xfId="0" applyFont="1" applyFill="1" applyBorder="1" applyAlignment="1" applyProtection="1">
      <alignment horizontal="center" wrapText="1"/>
      <protection locked="0"/>
    </xf>
    <xf numFmtId="183" fontId="53" fillId="33" borderId="13" xfId="0" applyNumberFormat="1" applyFont="1" applyFill="1" applyBorder="1" applyAlignment="1" applyProtection="1">
      <alignment horizontal="center"/>
      <protection locked="0"/>
    </xf>
    <xf numFmtId="183" fontId="53" fillId="33" borderId="17" xfId="0" applyNumberFormat="1" applyFont="1" applyFill="1" applyBorder="1" applyAlignment="1" applyProtection="1">
      <alignment horizontal="center"/>
      <protection locked="0"/>
    </xf>
    <xf numFmtId="183" fontId="53" fillId="33" borderId="12" xfId="0" applyNumberFormat="1" applyFont="1" applyFill="1" applyBorder="1" applyAlignment="1" applyProtection="1">
      <alignment horizontal="center"/>
      <protection locked="0"/>
    </xf>
    <xf numFmtId="2" fontId="53" fillId="3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83" fontId="9" fillId="0" borderId="11" xfId="0" applyNumberFormat="1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178" fontId="9" fillId="0" borderId="22" xfId="0" applyNumberFormat="1" applyFont="1" applyFill="1" applyBorder="1" applyAlignment="1" applyProtection="1">
      <alignment horizontal="center"/>
      <protection/>
    </xf>
    <xf numFmtId="178" fontId="9" fillId="0" borderId="10" xfId="0" applyNumberFormat="1" applyFont="1" applyFill="1" applyBorder="1" applyAlignment="1" applyProtection="1">
      <alignment horizontal="center"/>
      <protection/>
    </xf>
    <xf numFmtId="187" fontId="12" fillId="0" borderId="10" xfId="0" applyNumberFormat="1" applyFont="1" applyFill="1" applyBorder="1" applyAlignment="1">
      <alignment horizontal="left"/>
    </xf>
    <xf numFmtId="187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87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24" xfId="0" applyFont="1" applyFill="1" applyBorder="1" applyAlignment="1" applyProtection="1">
      <alignment horizontal="left"/>
      <protection locked="0"/>
    </xf>
    <xf numFmtId="0" fontId="11" fillId="0" borderId="25" xfId="0" applyFont="1" applyFill="1" applyBorder="1" applyAlignment="1" applyProtection="1">
      <alignment horizontal="left"/>
      <protection locked="0"/>
    </xf>
    <xf numFmtId="15" fontId="11" fillId="0" borderId="25" xfId="0" applyNumberFormat="1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 horizontal="left"/>
    </xf>
    <xf numFmtId="187" fontId="13" fillId="0" borderId="10" xfId="0" applyNumberFormat="1" applyFont="1" applyBorder="1" applyAlignment="1">
      <alignment horizontal="left"/>
    </xf>
    <xf numFmtId="14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15" fontId="10" fillId="0" borderId="10" xfId="0" applyNumberFormat="1" applyFont="1" applyFill="1" applyBorder="1" applyAlignment="1" applyProtection="1">
      <alignment horizontal="left"/>
      <protection locked="0"/>
    </xf>
    <xf numFmtId="187" fontId="12" fillId="0" borderId="10" xfId="0" applyNumberFormat="1" applyFont="1" applyBorder="1" applyAlignment="1">
      <alignment/>
    </xf>
    <xf numFmtId="187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1" fillId="0" borderId="24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15" fontId="11" fillId="0" borderId="25" xfId="0" applyNumberFormat="1" applyFont="1" applyFill="1" applyBorder="1" applyAlignment="1" applyProtection="1">
      <alignment/>
      <protection locked="0"/>
    </xf>
    <xf numFmtId="0" fontId="13" fillId="0" borderId="25" xfId="0" applyFont="1" applyBorder="1" applyAlignment="1">
      <alignment/>
    </xf>
    <xf numFmtId="0" fontId="11" fillId="0" borderId="2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/>
      <protection locked="0"/>
    </xf>
    <xf numFmtId="187" fontId="11" fillId="0" borderId="10" xfId="0" applyNumberFormat="1" applyFont="1" applyFill="1" applyBorder="1" applyAlignment="1" applyProtection="1">
      <alignment/>
      <protection locked="0"/>
    </xf>
    <xf numFmtId="187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10" xfId="0" applyNumberFormat="1" applyFont="1" applyBorder="1" applyAlignment="1">
      <alignment/>
    </xf>
    <xf numFmtId="183" fontId="12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0" fillId="0" borderId="0" xfId="0" applyNumberFormat="1" applyAlignment="1">
      <alignment/>
    </xf>
    <xf numFmtId="198" fontId="5" fillId="0" borderId="10" xfId="0" applyNumberFormat="1" applyFont="1" applyBorder="1" applyAlignment="1">
      <alignment horizontal="center"/>
    </xf>
    <xf numFmtId="183" fontId="1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198" fontId="5" fillId="0" borderId="10" xfId="48" applyNumberFormat="1" applyFont="1" applyBorder="1" applyAlignment="1">
      <alignment horizontal="center"/>
    </xf>
    <xf numFmtId="198" fontId="5" fillId="0" borderId="10" xfId="48" applyNumberFormat="1" applyFont="1" applyBorder="1" applyAlignment="1">
      <alignment horizontal="center" vertical="center"/>
    </xf>
    <xf numFmtId="198" fontId="5" fillId="0" borderId="10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2" fillId="0" borderId="27" xfId="0" applyFont="1" applyBorder="1" applyAlignment="1">
      <alignment/>
    </xf>
    <xf numFmtId="200" fontId="5" fillId="0" borderId="10" xfId="0" applyNumberFormat="1" applyFont="1" applyBorder="1" applyAlignment="1">
      <alignment horizontal="center"/>
    </xf>
    <xf numFmtId="200" fontId="5" fillId="0" borderId="0" xfId="0" applyNumberFormat="1" applyFont="1" applyBorder="1" applyAlignment="1">
      <alignment horizontal="center"/>
    </xf>
    <xf numFmtId="200" fontId="5" fillId="0" borderId="10" xfId="0" applyNumberFormat="1" applyFont="1" applyFill="1" applyBorder="1" applyAlignment="1">
      <alignment horizontal="center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3" fillId="33" borderId="13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20" xfId="0" applyFont="1" applyFill="1" applyBorder="1" applyAlignment="1" applyProtection="1">
      <alignment horizontal="center" vertical="center"/>
      <protection locked="0"/>
    </xf>
    <xf numFmtId="183" fontId="53" fillId="33" borderId="13" xfId="0" applyNumberFormat="1" applyFont="1" applyFill="1" applyBorder="1" applyAlignment="1" applyProtection="1">
      <alignment horizontal="center" vertical="center"/>
      <protection locked="0"/>
    </xf>
    <xf numFmtId="183" fontId="53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2" fillId="33" borderId="23" xfId="0" applyFont="1" applyFill="1" applyBorder="1" applyAlignment="1" applyProtection="1">
      <alignment horizontal="center" vertical="center"/>
      <protection locked="0"/>
    </xf>
    <xf numFmtId="0" fontId="52" fillId="33" borderId="28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1200150</xdr:colOff>
      <xdr:row>2</xdr:row>
      <xdr:rowOff>9525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1190625</xdr:colOff>
      <xdr:row>2</xdr:row>
      <xdr:rowOff>171450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0</xdr:col>
      <xdr:colOff>1981200</xdr:colOff>
      <xdr:row>3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857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57"/>
  <sheetViews>
    <sheetView zoomScalePageLayoutView="0" workbookViewId="0" topLeftCell="A1">
      <pane xSplit="7" ySplit="16" topLeftCell="I34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D361" sqref="D361"/>
    </sheetView>
  </sheetViews>
  <sheetFormatPr defaultColWidth="11.421875" defaultRowHeight="12.75"/>
  <cols>
    <col min="1" max="1" width="37.7109375" style="0" customWidth="1"/>
    <col min="2" max="2" width="11.57421875" style="0" bestFit="1" customWidth="1"/>
    <col min="3" max="3" width="21.00390625" style="0" bestFit="1" customWidth="1"/>
    <col min="4" max="4" width="21.00390625" style="0" customWidth="1"/>
    <col min="5" max="5" width="12.7109375" style="0" bestFit="1" customWidth="1"/>
    <col min="6" max="6" width="14.421875" style="0" bestFit="1" customWidth="1"/>
    <col min="7" max="7" width="15.28125" style="0" bestFit="1" customWidth="1"/>
    <col min="8" max="8" width="12.7109375" style="0" bestFit="1" customWidth="1"/>
    <col min="9" max="9" width="14.421875" style="0" customWidth="1"/>
    <col min="10" max="10" width="16.7109375" style="0" customWidth="1"/>
    <col min="11" max="11" width="12.7109375" style="0" bestFit="1" customWidth="1"/>
    <col min="12" max="12" width="13.7109375" style="0" bestFit="1" customWidth="1"/>
    <col min="13" max="14" width="12.7109375" style="0" bestFit="1" customWidth="1"/>
    <col min="15" max="15" width="14.57421875" style="0" bestFit="1" customWidth="1"/>
    <col min="16" max="16" width="16.8515625" style="0" bestFit="1" customWidth="1"/>
    <col min="17" max="17" width="13.7109375" style="0" bestFit="1" customWidth="1"/>
    <col min="18" max="18" width="14.57421875" style="0" bestFit="1" customWidth="1"/>
  </cols>
  <sheetData>
    <row r="1" spans="1:17" s="67" customFormat="1" ht="23.25" customHeight="1">
      <c r="A1" s="136" t="s">
        <v>466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s="67" customFormat="1" ht="36.75" customHeight="1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35.25" customHeight="1">
      <c r="A3" s="138" t="s">
        <v>0</v>
      </c>
      <c r="B3" s="134" t="s">
        <v>1</v>
      </c>
      <c r="C3" s="29" t="s">
        <v>477</v>
      </c>
      <c r="D3" s="30" t="s">
        <v>2</v>
      </c>
      <c r="E3" s="30" t="s">
        <v>478</v>
      </c>
      <c r="F3" s="30" t="s">
        <v>478</v>
      </c>
      <c r="G3" s="134" t="s">
        <v>4</v>
      </c>
      <c r="H3" s="134" t="s">
        <v>474</v>
      </c>
      <c r="I3" s="30" t="s">
        <v>479</v>
      </c>
      <c r="J3" s="30" t="s">
        <v>475</v>
      </c>
      <c r="K3" s="134" t="s">
        <v>5</v>
      </c>
      <c r="L3" s="30" t="s">
        <v>471</v>
      </c>
      <c r="M3" s="30" t="s">
        <v>6</v>
      </c>
      <c r="N3" s="140" t="s">
        <v>7</v>
      </c>
      <c r="O3" s="134" t="s">
        <v>8</v>
      </c>
      <c r="P3" s="31" t="s">
        <v>481</v>
      </c>
      <c r="Q3" s="32" t="s">
        <v>67</v>
      </c>
    </row>
    <row r="4" spans="1:17" ht="15" thickBot="1">
      <c r="A4" s="139"/>
      <c r="B4" s="135"/>
      <c r="C4" s="33" t="s">
        <v>468</v>
      </c>
      <c r="D4" s="34" t="s">
        <v>472</v>
      </c>
      <c r="E4" s="35">
        <v>50</v>
      </c>
      <c r="F4" s="33">
        <v>0.5</v>
      </c>
      <c r="G4" s="135"/>
      <c r="H4" s="135" t="s">
        <v>9</v>
      </c>
      <c r="I4" s="33" t="s">
        <v>473</v>
      </c>
      <c r="J4" s="33" t="s">
        <v>469</v>
      </c>
      <c r="K4" s="135" t="s">
        <v>9</v>
      </c>
      <c r="L4" s="33" t="s">
        <v>480</v>
      </c>
      <c r="M4" s="33" t="s">
        <v>10</v>
      </c>
      <c r="N4" s="141" t="s">
        <v>9</v>
      </c>
      <c r="O4" s="135"/>
      <c r="P4" s="35" t="s">
        <v>482</v>
      </c>
      <c r="Q4" s="36" t="s">
        <v>483</v>
      </c>
    </row>
    <row r="5" spans="1:17" ht="15.75">
      <c r="A5" s="97" t="s">
        <v>12</v>
      </c>
      <c r="B5" s="69">
        <v>245</v>
      </c>
      <c r="C5" s="70">
        <v>73.406</v>
      </c>
      <c r="D5" s="70">
        <v>77.406</v>
      </c>
      <c r="E5" s="70">
        <v>49.683</v>
      </c>
      <c r="F5" s="70"/>
      <c r="G5" s="70">
        <v>45.931</v>
      </c>
      <c r="H5" s="70">
        <v>22.805</v>
      </c>
      <c r="I5" s="70"/>
      <c r="J5" s="70">
        <v>32.971</v>
      </c>
      <c r="K5" s="70">
        <v>33.71</v>
      </c>
      <c r="L5" s="70">
        <v>28.721</v>
      </c>
      <c r="M5" s="70">
        <v>31.439</v>
      </c>
      <c r="N5" s="70">
        <v>48.983</v>
      </c>
      <c r="O5" s="71">
        <v>88.535</v>
      </c>
      <c r="P5" s="70">
        <v>47.369</v>
      </c>
      <c r="Q5" s="70">
        <v>46.416</v>
      </c>
    </row>
    <row r="6" spans="1:17" ht="15.75">
      <c r="A6" s="98" t="s">
        <v>13</v>
      </c>
      <c r="B6" s="44">
        <v>30</v>
      </c>
      <c r="C6" s="71">
        <v>76.657</v>
      </c>
      <c r="D6" s="71">
        <v>81.056</v>
      </c>
      <c r="E6" s="71">
        <v>51.882</v>
      </c>
      <c r="F6" s="71"/>
      <c r="G6" s="71">
        <v>47.964</v>
      </c>
      <c r="H6" s="71">
        <v>23.815</v>
      </c>
      <c r="I6" s="71"/>
      <c r="J6" s="71">
        <v>34.431</v>
      </c>
      <c r="K6" s="71">
        <v>35.203</v>
      </c>
      <c r="L6" s="71">
        <v>29.992</v>
      </c>
      <c r="M6" s="71">
        <v>32.831</v>
      </c>
      <c r="N6" s="71">
        <v>51.151</v>
      </c>
      <c r="O6" s="71">
        <v>92.453</v>
      </c>
      <c r="P6" s="71">
        <v>49.466</v>
      </c>
      <c r="Q6" s="71">
        <v>48.471</v>
      </c>
    </row>
    <row r="7" spans="1:17" ht="15.75">
      <c r="A7" s="98" t="s">
        <v>14</v>
      </c>
      <c r="B7" s="44">
        <v>54</v>
      </c>
      <c r="C7" s="71">
        <v>73.06</v>
      </c>
      <c r="D7" s="71">
        <v>77.253</v>
      </c>
      <c r="E7" s="71">
        <v>49.447</v>
      </c>
      <c r="F7" s="71"/>
      <c r="G7" s="71">
        <v>45.714</v>
      </c>
      <c r="H7" s="71">
        <v>22.697</v>
      </c>
      <c r="I7" s="71"/>
      <c r="J7" s="71">
        <v>32.815</v>
      </c>
      <c r="K7" s="71">
        <v>33.551</v>
      </c>
      <c r="L7" s="71">
        <v>28.585</v>
      </c>
      <c r="M7" s="71">
        <v>31.29</v>
      </c>
      <c r="N7" s="71">
        <v>48.751</v>
      </c>
      <c r="O7" s="71">
        <v>88.116</v>
      </c>
      <c r="P7" s="71">
        <v>47.145</v>
      </c>
      <c r="Q7" s="71">
        <v>46.197</v>
      </c>
    </row>
    <row r="8" spans="1:17" ht="15.75">
      <c r="A8" s="98" t="s">
        <v>15</v>
      </c>
      <c r="B8" s="44">
        <v>70</v>
      </c>
      <c r="C8" s="71">
        <v>95.357</v>
      </c>
      <c r="D8" s="71">
        <v>100.828</v>
      </c>
      <c r="E8" s="71">
        <v>64.538</v>
      </c>
      <c r="F8" s="71"/>
      <c r="G8" s="71">
        <v>59.665</v>
      </c>
      <c r="H8" s="71">
        <v>29.624</v>
      </c>
      <c r="I8" s="71"/>
      <c r="J8" s="71">
        <v>42.83</v>
      </c>
      <c r="K8" s="71">
        <v>43.79</v>
      </c>
      <c r="L8" s="71">
        <v>37.308</v>
      </c>
      <c r="M8" s="71">
        <v>40.839</v>
      </c>
      <c r="N8" s="71">
        <v>63.629</v>
      </c>
      <c r="O8" s="71">
        <v>115.007</v>
      </c>
      <c r="P8" s="71">
        <v>61.532</v>
      </c>
      <c r="Q8" s="71">
        <v>60.295</v>
      </c>
    </row>
    <row r="9" spans="1:17" ht="15.75">
      <c r="A9" s="98" t="s">
        <v>16</v>
      </c>
      <c r="B9" s="44">
        <v>98</v>
      </c>
      <c r="C9" s="71">
        <v>103.048</v>
      </c>
      <c r="D9" s="71">
        <v>108.961</v>
      </c>
      <c r="E9" s="71">
        <v>69.743</v>
      </c>
      <c r="F9" s="71"/>
      <c r="G9" s="71">
        <v>64.478</v>
      </c>
      <c r="H9" s="71">
        <v>32.013</v>
      </c>
      <c r="I9" s="71"/>
      <c r="J9" s="71">
        <v>46.284</v>
      </c>
      <c r="K9" s="71">
        <v>47.322</v>
      </c>
      <c r="L9" s="71">
        <v>40.317</v>
      </c>
      <c r="M9" s="71">
        <v>44.134</v>
      </c>
      <c r="N9" s="71">
        <v>68.762</v>
      </c>
      <c r="O9" s="71">
        <v>124.283</v>
      </c>
      <c r="P9" s="71">
        <v>66.495</v>
      </c>
      <c r="Q9" s="71">
        <v>65.158</v>
      </c>
    </row>
    <row r="10" spans="1:17" ht="15.75">
      <c r="A10" s="98" t="s">
        <v>17</v>
      </c>
      <c r="B10" s="44">
        <v>145</v>
      </c>
      <c r="C10" s="71">
        <v>112.138</v>
      </c>
      <c r="D10" s="71">
        <v>118.573</v>
      </c>
      <c r="E10" s="71">
        <v>75.896</v>
      </c>
      <c r="F10" s="71"/>
      <c r="G10" s="71">
        <v>70.165</v>
      </c>
      <c r="H10" s="71">
        <v>34.837</v>
      </c>
      <c r="I10" s="71"/>
      <c r="J10" s="71">
        <v>50.367</v>
      </c>
      <c r="K10" s="71">
        <v>51.497</v>
      </c>
      <c r="L10" s="71">
        <v>43.874</v>
      </c>
      <c r="M10" s="71">
        <v>48.027</v>
      </c>
      <c r="N10" s="71">
        <v>74.827</v>
      </c>
      <c r="O10" s="71">
        <v>135.247</v>
      </c>
      <c r="P10" s="71">
        <v>72.361</v>
      </c>
      <c r="Q10" s="71">
        <v>70.906</v>
      </c>
    </row>
    <row r="11" spans="1:17" ht="15.75">
      <c r="A11" s="98" t="s">
        <v>18</v>
      </c>
      <c r="B11" s="44">
        <v>164</v>
      </c>
      <c r="C11" s="71">
        <v>122.968</v>
      </c>
      <c r="D11" s="71">
        <v>130.024</v>
      </c>
      <c r="E11" s="71">
        <v>83.225</v>
      </c>
      <c r="F11" s="71"/>
      <c r="G11" s="71">
        <v>76.942</v>
      </c>
      <c r="H11" s="71">
        <v>38.202</v>
      </c>
      <c r="I11" s="71"/>
      <c r="J11" s="71">
        <v>55.231</v>
      </c>
      <c r="K11" s="71">
        <v>56.47</v>
      </c>
      <c r="L11" s="71">
        <v>48.111</v>
      </c>
      <c r="M11" s="71">
        <v>52.665</v>
      </c>
      <c r="N11" s="71">
        <v>82.054</v>
      </c>
      <c r="O11" s="71">
        <v>148.308</v>
      </c>
      <c r="P11" s="71">
        <v>79.35</v>
      </c>
      <c r="Q11" s="71">
        <v>77.754</v>
      </c>
    </row>
    <row r="12" spans="1:17" ht="15.75">
      <c r="A12" s="98" t="s">
        <v>19</v>
      </c>
      <c r="B12" s="44">
        <v>179</v>
      </c>
      <c r="C12" s="71">
        <v>129.678</v>
      </c>
      <c r="D12" s="71">
        <v>137.119</v>
      </c>
      <c r="E12" s="71">
        <v>87.767</v>
      </c>
      <c r="F12" s="71"/>
      <c r="G12" s="71">
        <v>81.14</v>
      </c>
      <c r="H12" s="71">
        <v>40.286</v>
      </c>
      <c r="I12" s="71"/>
      <c r="J12" s="71">
        <v>58.245</v>
      </c>
      <c r="K12" s="71">
        <v>59.551</v>
      </c>
      <c r="L12" s="71">
        <v>50.736</v>
      </c>
      <c r="M12" s="71">
        <v>55.539</v>
      </c>
      <c r="N12" s="71">
        <v>86.531</v>
      </c>
      <c r="O12" s="71">
        <v>156.401</v>
      </c>
      <c r="P12" s="71">
        <v>83.679</v>
      </c>
      <c r="Q12" s="71">
        <v>81.997</v>
      </c>
    </row>
    <row r="13" spans="1:17" ht="15.75">
      <c r="A13" s="98" t="s">
        <v>20</v>
      </c>
      <c r="B13" s="44">
        <v>195</v>
      </c>
      <c r="C13" s="71">
        <v>136.886</v>
      </c>
      <c r="D13" s="71">
        <v>144.741</v>
      </c>
      <c r="E13" s="71">
        <v>92.645</v>
      </c>
      <c r="F13" s="71"/>
      <c r="G13" s="71">
        <v>85.65</v>
      </c>
      <c r="H13" s="71">
        <v>42.526</v>
      </c>
      <c r="I13" s="71"/>
      <c r="J13" s="71">
        <v>61.483</v>
      </c>
      <c r="K13" s="71">
        <v>62.861</v>
      </c>
      <c r="L13" s="71">
        <v>53.556</v>
      </c>
      <c r="M13" s="71">
        <v>58.626</v>
      </c>
      <c r="N13" s="71">
        <v>91.341</v>
      </c>
      <c r="O13" s="71">
        <v>165.094</v>
      </c>
      <c r="P13" s="71">
        <v>88.331</v>
      </c>
      <c r="Q13" s="71">
        <v>86.554</v>
      </c>
    </row>
    <row r="14" spans="1:17" ht="15.75">
      <c r="A14" s="98" t="s">
        <v>21</v>
      </c>
      <c r="B14" s="44">
        <v>209</v>
      </c>
      <c r="C14" s="71">
        <v>128.873</v>
      </c>
      <c r="D14" s="71">
        <v>136.268</v>
      </c>
      <c r="E14" s="71">
        <v>87.222</v>
      </c>
      <c r="F14" s="71"/>
      <c r="G14" s="71">
        <v>80.636</v>
      </c>
      <c r="H14" s="71">
        <v>40.036</v>
      </c>
      <c r="I14" s="71"/>
      <c r="J14" s="71">
        <v>57.884</v>
      </c>
      <c r="K14" s="71">
        <v>59.182</v>
      </c>
      <c r="L14" s="71">
        <v>50.421</v>
      </c>
      <c r="M14" s="71">
        <v>55.194</v>
      </c>
      <c r="N14" s="71">
        <v>85.994</v>
      </c>
      <c r="O14" s="71">
        <v>155.43</v>
      </c>
      <c r="P14" s="71">
        <v>93.16</v>
      </c>
      <c r="Q14" s="71">
        <v>81.448</v>
      </c>
    </row>
    <row r="15" spans="1:17" ht="15.75">
      <c r="A15" s="98" t="s">
        <v>22</v>
      </c>
      <c r="B15" s="44">
        <v>228</v>
      </c>
      <c r="C15" s="71">
        <v>134.586</v>
      </c>
      <c r="D15" s="71">
        <v>142.309</v>
      </c>
      <c r="E15" s="71">
        <v>91.089</v>
      </c>
      <c r="F15" s="71"/>
      <c r="G15" s="71">
        <v>84.211</v>
      </c>
      <c r="H15" s="71">
        <v>41.811</v>
      </c>
      <c r="I15" s="71"/>
      <c r="J15" s="71">
        <v>60.45</v>
      </c>
      <c r="K15" s="71">
        <v>61.806</v>
      </c>
      <c r="L15" s="71">
        <v>52.657</v>
      </c>
      <c r="M15" s="71">
        <v>57.641</v>
      </c>
      <c r="N15" s="71">
        <v>89.806</v>
      </c>
      <c r="O15" s="71">
        <v>162.321</v>
      </c>
      <c r="P15" s="71">
        <v>86.847</v>
      </c>
      <c r="Q15" s="71">
        <v>85.1</v>
      </c>
    </row>
    <row r="16" spans="1:17" ht="15.75" customHeight="1">
      <c r="A16" s="98" t="s">
        <v>23</v>
      </c>
      <c r="B16" s="44">
        <v>244</v>
      </c>
      <c r="C16" s="71">
        <v>144.272</v>
      </c>
      <c r="D16" s="71">
        <v>152.551</v>
      </c>
      <c r="E16" s="71">
        <v>97.644</v>
      </c>
      <c r="F16" s="71"/>
      <c r="G16" s="71">
        <v>90.272</v>
      </c>
      <c r="H16" s="71">
        <v>44.82</v>
      </c>
      <c r="I16" s="71"/>
      <c r="J16" s="71">
        <v>64.8</v>
      </c>
      <c r="K16" s="71">
        <v>66.254</v>
      </c>
      <c r="L16" s="71">
        <v>56.446</v>
      </c>
      <c r="M16" s="71">
        <v>61.789</v>
      </c>
      <c r="N16" s="71">
        <v>96.27</v>
      </c>
      <c r="O16" s="71">
        <v>174.003</v>
      </c>
      <c r="P16" s="71">
        <v>93.097</v>
      </c>
      <c r="Q16" s="71">
        <v>91.225</v>
      </c>
    </row>
    <row r="17" spans="1:17" ht="15">
      <c r="A17" s="99" t="s">
        <v>236</v>
      </c>
      <c r="B17" s="44">
        <v>24</v>
      </c>
      <c r="C17" s="45">
        <v>150.58</v>
      </c>
      <c r="D17" s="45">
        <v>159.221</v>
      </c>
      <c r="E17" s="45">
        <v>101.913</v>
      </c>
      <c r="F17" s="45"/>
      <c r="G17" s="45">
        <v>94.219</v>
      </c>
      <c r="H17" s="45">
        <v>46.78</v>
      </c>
      <c r="I17" s="45"/>
      <c r="J17" s="45">
        <v>67.634</v>
      </c>
      <c r="K17" s="45">
        <v>69.15</v>
      </c>
      <c r="L17" s="45">
        <v>58.914</v>
      </c>
      <c r="M17" s="45">
        <v>64.491</v>
      </c>
      <c r="N17" s="45">
        <v>100.479</v>
      </c>
      <c r="O17" s="45">
        <v>181.61</v>
      </c>
      <c r="P17" s="45">
        <v>97.167</v>
      </c>
      <c r="Q17" s="45">
        <v>95.213</v>
      </c>
    </row>
    <row r="18" spans="1:17" ht="15">
      <c r="A18" s="99" t="s">
        <v>237</v>
      </c>
      <c r="B18" s="44">
        <v>44</v>
      </c>
      <c r="C18" s="45">
        <v>166.022</v>
      </c>
      <c r="D18" s="45">
        <v>175.549</v>
      </c>
      <c r="E18" s="45">
        <v>112.365</v>
      </c>
      <c r="F18" s="45"/>
      <c r="G18" s="45">
        <v>103.881</v>
      </c>
      <c r="H18" s="45">
        <v>51.577</v>
      </c>
      <c r="I18" s="45"/>
      <c r="J18" s="45">
        <v>74.569</v>
      </c>
      <c r="K18" s="45">
        <v>76.242</v>
      </c>
      <c r="L18" s="45">
        <v>64.956</v>
      </c>
      <c r="M18" s="45">
        <v>71.104</v>
      </c>
      <c r="N18" s="45">
        <v>110.783</v>
      </c>
      <c r="O18" s="45">
        <v>200.234</v>
      </c>
      <c r="P18" s="45">
        <v>107.132</v>
      </c>
      <c r="Q18" s="45">
        <v>104.977</v>
      </c>
    </row>
    <row r="19" spans="1:17" ht="15">
      <c r="A19" s="99" t="s">
        <v>239</v>
      </c>
      <c r="B19" s="44">
        <v>72</v>
      </c>
      <c r="C19" s="45">
        <v>158.36</v>
      </c>
      <c r="D19" s="45">
        <v>167.447</v>
      </c>
      <c r="E19" s="45">
        <v>108.79</v>
      </c>
      <c r="F19" s="45"/>
      <c r="G19" s="45">
        <v>99.087</v>
      </c>
      <c r="H19" s="45">
        <v>49.197</v>
      </c>
      <c r="I19" s="45"/>
      <c r="J19" s="45">
        <v>71.128</v>
      </c>
      <c r="K19" s="45">
        <v>72.723</v>
      </c>
      <c r="L19" s="45">
        <v>61.958</v>
      </c>
      <c r="M19" s="45">
        <v>71.641</v>
      </c>
      <c r="N19" s="45">
        <v>105.67</v>
      </c>
      <c r="O19" s="45">
        <v>190.993</v>
      </c>
      <c r="P19" s="45">
        <v>102.188</v>
      </c>
      <c r="Q19" s="45">
        <v>100.133</v>
      </c>
    </row>
    <row r="20" spans="1:17" ht="15">
      <c r="A20" s="99" t="s">
        <v>309</v>
      </c>
      <c r="B20" s="44">
        <v>95</v>
      </c>
      <c r="C20" s="45">
        <v>158.36</v>
      </c>
      <c r="D20" s="45">
        <v>167.447</v>
      </c>
      <c r="E20" s="45">
        <v>108.79</v>
      </c>
      <c r="F20" s="45"/>
      <c r="G20" s="45">
        <v>99.087</v>
      </c>
      <c r="H20" s="45">
        <v>49.197</v>
      </c>
      <c r="I20" s="45"/>
      <c r="J20" s="45">
        <v>71.128</v>
      </c>
      <c r="K20" s="45">
        <v>72.723</v>
      </c>
      <c r="L20" s="45">
        <v>61.958</v>
      </c>
      <c r="M20" s="45">
        <v>71.641</v>
      </c>
      <c r="N20" s="45">
        <v>105.67</v>
      </c>
      <c r="O20" s="45">
        <v>190.993</v>
      </c>
      <c r="P20" s="45">
        <v>102.188</v>
      </c>
      <c r="Q20" s="45">
        <v>100.133</v>
      </c>
    </row>
    <row r="21" spans="1:17" ht="15">
      <c r="A21" s="99" t="s">
        <v>240</v>
      </c>
      <c r="B21" s="44">
        <v>105</v>
      </c>
      <c r="C21" s="45">
        <v>166.741</v>
      </c>
      <c r="D21" s="45">
        <v>176.309</v>
      </c>
      <c r="E21" s="45">
        <v>114.548</v>
      </c>
      <c r="F21" s="45"/>
      <c r="G21" s="45">
        <v>104.33</v>
      </c>
      <c r="H21" s="45">
        <v>51.8</v>
      </c>
      <c r="I21" s="45"/>
      <c r="J21" s="45">
        <v>74.892</v>
      </c>
      <c r="K21" s="45">
        <v>76.572</v>
      </c>
      <c r="L21" s="45">
        <v>65.237</v>
      </c>
      <c r="M21" s="45">
        <v>75.432</v>
      </c>
      <c r="N21" s="45">
        <v>111.262</v>
      </c>
      <c r="O21" s="45">
        <v>201.101</v>
      </c>
      <c r="P21" s="45">
        <v>107.596</v>
      </c>
      <c r="Q21" s="45">
        <v>105.432</v>
      </c>
    </row>
    <row r="22" spans="1:17" ht="15">
      <c r="A22" s="99" t="s">
        <v>241</v>
      </c>
      <c r="B22" s="44">
        <v>173</v>
      </c>
      <c r="C22" s="45">
        <v>175.14</v>
      </c>
      <c r="D22" s="45">
        <v>185.19</v>
      </c>
      <c r="E22" s="45">
        <v>120.318</v>
      </c>
      <c r="F22" s="45"/>
      <c r="G22" s="45">
        <v>109.585</v>
      </c>
      <c r="H22" s="45">
        <v>54.41</v>
      </c>
      <c r="I22" s="45"/>
      <c r="J22" s="45">
        <v>78.664</v>
      </c>
      <c r="K22" s="45">
        <v>80.429</v>
      </c>
      <c r="L22" s="45">
        <v>68.524</v>
      </c>
      <c r="M22" s="45">
        <v>79.232</v>
      </c>
      <c r="N22" s="45">
        <v>116.867</v>
      </c>
      <c r="O22" s="45">
        <v>211.231</v>
      </c>
      <c r="P22" s="45">
        <v>113.015</v>
      </c>
      <c r="Q22" s="45">
        <v>110.742</v>
      </c>
    </row>
    <row r="23" spans="1:17" ht="15">
      <c r="A23" s="99" t="s">
        <v>243</v>
      </c>
      <c r="B23" s="44">
        <v>226</v>
      </c>
      <c r="C23" s="45">
        <v>184.643</v>
      </c>
      <c r="D23" s="45">
        <v>195.239</v>
      </c>
      <c r="E23" s="45">
        <v>129.12</v>
      </c>
      <c r="F23" s="45"/>
      <c r="G23" s="45">
        <v>122.262</v>
      </c>
      <c r="H23" s="45">
        <v>60.704</v>
      </c>
      <c r="I23" s="45"/>
      <c r="J23" s="45">
        <v>85.873</v>
      </c>
      <c r="K23" s="45">
        <v>87.799</v>
      </c>
      <c r="L23" s="45">
        <v>74.804</v>
      </c>
      <c r="M23" s="45">
        <v>88.397</v>
      </c>
      <c r="N23" s="45">
        <v>127.578</v>
      </c>
      <c r="O23" s="45">
        <v>225.576</v>
      </c>
      <c r="P23" s="45">
        <v>126.088</v>
      </c>
      <c r="Q23" s="45">
        <v>123.552</v>
      </c>
    </row>
    <row r="24" spans="1:17" ht="15">
      <c r="A24" s="99" t="s">
        <v>244</v>
      </c>
      <c r="B24" s="44">
        <v>242</v>
      </c>
      <c r="C24" s="45">
        <v>178.273</v>
      </c>
      <c r="D24" s="45">
        <v>188.503</v>
      </c>
      <c r="E24" s="45">
        <v>124.071</v>
      </c>
      <c r="F24" s="45"/>
      <c r="G24" s="45">
        <v>116.284</v>
      </c>
      <c r="H24" s="45">
        <v>57.736</v>
      </c>
      <c r="I24" s="45"/>
      <c r="J24" s="45">
        <v>82.141</v>
      </c>
      <c r="K24" s="45">
        <v>83.984</v>
      </c>
      <c r="L24" s="45">
        <v>71.552</v>
      </c>
      <c r="M24" s="45">
        <v>84.074</v>
      </c>
      <c r="N24" s="45">
        <v>122.034</v>
      </c>
      <c r="O24" s="45">
        <v>217.039</v>
      </c>
      <c r="P24" s="45">
        <v>119.923</v>
      </c>
      <c r="Q24" s="45">
        <v>117.511</v>
      </c>
    </row>
    <row r="25" spans="1:17" ht="15">
      <c r="A25" s="99" t="s">
        <v>245</v>
      </c>
      <c r="B25" s="44">
        <v>5</v>
      </c>
      <c r="C25" s="45">
        <v>168.043</v>
      </c>
      <c r="D25" s="45">
        <v>177.686</v>
      </c>
      <c r="E25" s="45">
        <v>115.962</v>
      </c>
      <c r="F25" s="45"/>
      <c r="G25" s="45">
        <v>106.683</v>
      </c>
      <c r="H25" s="45">
        <v>52.969</v>
      </c>
      <c r="I25" s="45"/>
      <c r="J25" s="45">
        <v>76.148</v>
      </c>
      <c r="K25" s="45">
        <v>77.856</v>
      </c>
      <c r="L25" s="45">
        <v>66.332</v>
      </c>
      <c r="M25" s="45">
        <v>77.133</v>
      </c>
      <c r="N25" s="45">
        <v>113.13</v>
      </c>
      <c r="O25" s="45">
        <v>203.331</v>
      </c>
      <c r="P25" s="45">
        <v>110.021</v>
      </c>
      <c r="Q25" s="45">
        <v>107.808</v>
      </c>
    </row>
    <row r="26" spans="1:17" ht="15">
      <c r="A26" s="99" t="s">
        <v>246</v>
      </c>
      <c r="B26" s="44">
        <v>26</v>
      </c>
      <c r="C26" s="45">
        <v>182.119</v>
      </c>
      <c r="D26" s="45">
        <v>192.57</v>
      </c>
      <c r="E26" s="45">
        <v>127.12</v>
      </c>
      <c r="F26" s="45"/>
      <c r="G26" s="45">
        <v>119.894</v>
      </c>
      <c r="H26" s="45">
        <v>59.528</v>
      </c>
      <c r="I26" s="45"/>
      <c r="J26" s="45">
        <v>84.394</v>
      </c>
      <c r="K26" s="45">
        <v>86.288</v>
      </c>
      <c r="L26" s="45">
        <v>73.516</v>
      </c>
      <c r="M26" s="45">
        <v>86.685</v>
      </c>
      <c r="N26" s="45">
        <v>125.382</v>
      </c>
      <c r="O26" s="45">
        <v>222.194</v>
      </c>
      <c r="P26" s="45">
        <v>123.646</v>
      </c>
      <c r="Q26" s="45">
        <v>121.159</v>
      </c>
    </row>
    <row r="27" spans="1:17" ht="15">
      <c r="A27" s="99" t="s">
        <v>247</v>
      </c>
      <c r="B27" s="44">
        <v>45</v>
      </c>
      <c r="C27" s="45">
        <v>175.914</v>
      </c>
      <c r="D27" s="45">
        <v>185.979</v>
      </c>
      <c r="E27" s="45">
        <v>122.309</v>
      </c>
      <c r="F27" s="45"/>
      <c r="G27" s="45">
        <v>114.042</v>
      </c>
      <c r="H27" s="45">
        <v>56.915</v>
      </c>
      <c r="I27" s="45"/>
      <c r="J27" s="45">
        <v>80.906</v>
      </c>
      <c r="K27" s="45">
        <v>82.712</v>
      </c>
      <c r="L27" s="45">
        <v>70.536</v>
      </c>
      <c r="M27" s="45">
        <v>82.641</v>
      </c>
      <c r="N27" s="45">
        <v>120.048</v>
      </c>
      <c r="O27" s="45">
        <v>213.701</v>
      </c>
      <c r="P27" s="45">
        <v>117.588</v>
      </c>
      <c r="Q27" s="45">
        <v>115.232</v>
      </c>
    </row>
    <row r="28" spans="1:17" ht="15">
      <c r="A28" s="99" t="s">
        <v>248</v>
      </c>
      <c r="B28" s="44">
        <v>65</v>
      </c>
      <c r="C28" s="45">
        <v>169.139</v>
      </c>
      <c r="D28" s="45">
        <v>178.502</v>
      </c>
      <c r="E28" s="45">
        <v>117.272</v>
      </c>
      <c r="F28" s="45"/>
      <c r="G28" s="45">
        <v>105.617</v>
      </c>
      <c r="H28" s="45">
        <v>54.677</v>
      </c>
      <c r="I28" s="45"/>
      <c r="J28" s="45">
        <v>77.271</v>
      </c>
      <c r="K28" s="45">
        <v>78.915</v>
      </c>
      <c r="L28" s="45">
        <v>67.825</v>
      </c>
      <c r="M28" s="45">
        <v>77.8</v>
      </c>
      <c r="N28" s="45">
        <v>113.458</v>
      </c>
      <c r="O28" s="45">
        <v>202.162</v>
      </c>
      <c r="P28" s="45">
        <v>108.75</v>
      </c>
      <c r="Q28" s="45">
        <v>106.633</v>
      </c>
    </row>
    <row r="29" spans="1:17" ht="15">
      <c r="A29" s="99" t="s">
        <v>250</v>
      </c>
      <c r="B29" s="44">
        <v>82</v>
      </c>
      <c r="C29" s="45">
        <v>174.91</v>
      </c>
      <c r="D29" s="45">
        <v>184.702</v>
      </c>
      <c r="E29" s="45">
        <v>122.289</v>
      </c>
      <c r="F29" s="45"/>
      <c r="G29" s="45">
        <v>112.899</v>
      </c>
      <c r="H29" s="45">
        <v>58.447</v>
      </c>
      <c r="I29" s="45"/>
      <c r="J29" s="45">
        <v>81.381</v>
      </c>
      <c r="K29" s="45">
        <v>83.124</v>
      </c>
      <c r="L29" s="45">
        <v>71.369</v>
      </c>
      <c r="M29" s="45">
        <v>83.164</v>
      </c>
      <c r="N29" s="45">
        <v>119.66</v>
      </c>
      <c r="O29" s="45">
        <v>211.082</v>
      </c>
      <c r="P29" s="45">
        <v>116.248</v>
      </c>
      <c r="Q29" s="45">
        <v>113.984</v>
      </c>
    </row>
    <row r="30" spans="1:17" ht="15">
      <c r="A30" s="99" t="s">
        <v>251</v>
      </c>
      <c r="B30" s="44">
        <v>132</v>
      </c>
      <c r="C30" s="45">
        <v>175.185</v>
      </c>
      <c r="D30" s="45">
        <v>184.699</v>
      </c>
      <c r="E30" s="45">
        <v>122.777</v>
      </c>
      <c r="F30" s="45"/>
      <c r="G30" s="45">
        <v>110.302</v>
      </c>
      <c r="H30" s="45">
        <v>58.663</v>
      </c>
      <c r="I30" s="45"/>
      <c r="J30" s="45">
        <v>81.373</v>
      </c>
      <c r="K30" s="45">
        <v>83.283</v>
      </c>
      <c r="L30" s="45">
        <v>71.753</v>
      </c>
      <c r="M30" s="45">
        <v>82.233</v>
      </c>
      <c r="N30" s="45">
        <v>118.669</v>
      </c>
      <c r="O30" s="45">
        <v>208.322</v>
      </c>
      <c r="P30" s="45">
        <v>113.319</v>
      </c>
      <c r="Q30" s="45">
        <v>111.157</v>
      </c>
    </row>
    <row r="31" spans="1:17" ht="15">
      <c r="A31" s="99" t="s">
        <v>252</v>
      </c>
      <c r="B31" s="44">
        <v>146</v>
      </c>
      <c r="C31" s="45">
        <v>169.33</v>
      </c>
      <c r="D31" s="45">
        <v>177.408</v>
      </c>
      <c r="E31" s="45">
        <v>118.845</v>
      </c>
      <c r="F31" s="45"/>
      <c r="G31" s="45">
        <v>118.915</v>
      </c>
      <c r="H31" s="45">
        <v>52.353</v>
      </c>
      <c r="I31" s="45"/>
      <c r="J31" s="45">
        <v>77.851</v>
      </c>
      <c r="K31" s="45">
        <v>79.103</v>
      </c>
      <c r="L31" s="45">
        <v>67.42</v>
      </c>
      <c r="M31" s="45">
        <v>78.367</v>
      </c>
      <c r="N31" s="45">
        <v>120.505</v>
      </c>
      <c r="O31" s="45">
        <v>197.409</v>
      </c>
      <c r="P31" s="45">
        <v>111.282</v>
      </c>
      <c r="Q31" s="45">
        <v>109.369</v>
      </c>
    </row>
    <row r="32" spans="1:17" ht="15">
      <c r="A32" s="99" t="s">
        <v>253</v>
      </c>
      <c r="B32" s="44">
        <v>150</v>
      </c>
      <c r="C32" s="45">
        <v>168.988</v>
      </c>
      <c r="D32" s="45">
        <v>176.696</v>
      </c>
      <c r="E32" s="45">
        <v>117.092</v>
      </c>
      <c r="F32" s="45"/>
      <c r="G32" s="45">
        <v>113.319</v>
      </c>
      <c r="H32" s="45">
        <v>49.706</v>
      </c>
      <c r="I32" s="45"/>
      <c r="J32" s="45">
        <v>74.287</v>
      </c>
      <c r="K32" s="45">
        <v>75.52</v>
      </c>
      <c r="L32" s="45">
        <v>64.176</v>
      </c>
      <c r="M32" s="45">
        <v>74.84</v>
      </c>
      <c r="N32" s="45">
        <v>118.702</v>
      </c>
      <c r="O32" s="45">
        <v>194.667</v>
      </c>
      <c r="P32" s="45">
        <v>104.352</v>
      </c>
      <c r="Q32" s="45">
        <v>102.585</v>
      </c>
    </row>
    <row r="33" spans="1:17" ht="15">
      <c r="A33" s="99" t="s">
        <v>254</v>
      </c>
      <c r="B33" s="44">
        <v>175</v>
      </c>
      <c r="C33" s="45">
        <v>174.523</v>
      </c>
      <c r="D33" s="45">
        <v>182.53</v>
      </c>
      <c r="E33" s="45">
        <v>121.544</v>
      </c>
      <c r="F33" s="45"/>
      <c r="G33" s="45">
        <v>119.262</v>
      </c>
      <c r="H33" s="45">
        <v>52.454</v>
      </c>
      <c r="I33" s="45"/>
      <c r="J33" s="45">
        <v>78.181</v>
      </c>
      <c r="K33" s="45">
        <v>79.43</v>
      </c>
      <c r="L33" s="45">
        <v>67.61</v>
      </c>
      <c r="M33" s="45">
        <v>78.704</v>
      </c>
      <c r="N33" s="45">
        <v>123.194</v>
      </c>
      <c r="O33" s="45">
        <v>201.942</v>
      </c>
      <c r="P33" s="45">
        <v>110.565</v>
      </c>
      <c r="Q33" s="45">
        <v>108.68</v>
      </c>
    </row>
    <row r="34" spans="1:17" ht="15">
      <c r="A34" s="99" t="s">
        <v>255</v>
      </c>
      <c r="B34" s="44">
        <v>195</v>
      </c>
      <c r="C34" s="45">
        <v>170.049</v>
      </c>
      <c r="D34" s="45">
        <v>177.815</v>
      </c>
      <c r="E34" s="45">
        <v>117.946</v>
      </c>
      <c r="F34" s="45"/>
      <c r="G34" s="45">
        <v>114.459</v>
      </c>
      <c r="H34" s="45">
        <v>50.233</v>
      </c>
      <c r="I34" s="45"/>
      <c r="J34" s="45">
        <v>75.034</v>
      </c>
      <c r="K34" s="45">
        <v>76.27</v>
      </c>
      <c r="L34" s="45">
        <v>64.834</v>
      </c>
      <c r="M34" s="45">
        <v>75.581</v>
      </c>
      <c r="N34" s="45">
        <v>119.563</v>
      </c>
      <c r="O34" s="45">
        <v>196.062</v>
      </c>
      <c r="P34" s="45">
        <v>105.543</v>
      </c>
      <c r="Q34" s="45">
        <v>103.754</v>
      </c>
    </row>
    <row r="35" spans="1:17" ht="15">
      <c r="A35" s="99" t="s">
        <v>24</v>
      </c>
      <c r="B35" s="44">
        <v>212</v>
      </c>
      <c r="C35" s="45">
        <v>160.34</v>
      </c>
      <c r="D35" s="45">
        <v>167.486</v>
      </c>
      <c r="E35" s="45">
        <v>109.73</v>
      </c>
      <c r="F35" s="45"/>
      <c r="G35" s="45">
        <v>102.654</v>
      </c>
      <c r="H35" s="45">
        <v>44.793</v>
      </c>
      <c r="I35" s="45"/>
      <c r="J35" s="45">
        <v>67.221</v>
      </c>
      <c r="K35" s="45">
        <v>68.425</v>
      </c>
      <c r="L35" s="45">
        <v>57.975</v>
      </c>
      <c r="M35" s="45">
        <v>67.83</v>
      </c>
      <c r="N35" s="45">
        <v>111.262</v>
      </c>
      <c r="O35" s="45">
        <v>182.75</v>
      </c>
      <c r="P35" s="45">
        <v>92.929</v>
      </c>
      <c r="Q35" s="45">
        <v>91.385</v>
      </c>
    </row>
    <row r="36" spans="1:17" ht="15">
      <c r="A36" s="99" t="s">
        <v>25</v>
      </c>
      <c r="B36" s="44">
        <v>233</v>
      </c>
      <c r="C36" s="45">
        <v>153.849</v>
      </c>
      <c r="D36" s="45">
        <v>160.644</v>
      </c>
      <c r="E36" s="45">
        <v>104.509</v>
      </c>
      <c r="F36" s="45"/>
      <c r="G36" s="45">
        <v>95.685</v>
      </c>
      <c r="H36" s="45">
        <v>41.57</v>
      </c>
      <c r="I36" s="45"/>
      <c r="J36" s="45">
        <v>62.654</v>
      </c>
      <c r="K36" s="45">
        <v>63.839</v>
      </c>
      <c r="L36" s="45">
        <v>53.948</v>
      </c>
      <c r="M36" s="45">
        <v>63.299</v>
      </c>
      <c r="N36" s="45">
        <v>105.993</v>
      </c>
      <c r="O36" s="45">
        <v>174.219</v>
      </c>
      <c r="P36" s="45">
        <v>85.642</v>
      </c>
      <c r="Q36" s="45">
        <v>84.237</v>
      </c>
    </row>
    <row r="37" spans="1:17" ht="15">
      <c r="A37" s="99" t="s">
        <v>310</v>
      </c>
      <c r="B37" s="44">
        <v>2</v>
      </c>
      <c r="C37" s="45">
        <v>150.659</v>
      </c>
      <c r="D37" s="45">
        <v>157.282</v>
      </c>
      <c r="E37" s="45">
        <v>101.943</v>
      </c>
      <c r="F37" s="45"/>
      <c r="G37" s="45">
        <v>92.259</v>
      </c>
      <c r="H37" s="45">
        <v>39.986</v>
      </c>
      <c r="I37" s="45"/>
      <c r="J37" s="45">
        <v>60.41</v>
      </c>
      <c r="K37" s="45">
        <v>61.586</v>
      </c>
      <c r="L37" s="45">
        <v>51.968</v>
      </c>
      <c r="M37" s="45">
        <v>61.071</v>
      </c>
      <c r="N37" s="45">
        <v>103.404</v>
      </c>
      <c r="O37" s="45">
        <v>170.026</v>
      </c>
      <c r="P37" s="45">
        <v>82.061</v>
      </c>
      <c r="Q37" s="45">
        <v>80.724</v>
      </c>
    </row>
    <row r="38" spans="1:17" ht="15">
      <c r="A38" s="99" t="s">
        <v>311</v>
      </c>
      <c r="B38" s="44">
        <v>26</v>
      </c>
      <c r="C38" s="45">
        <v>156.557</v>
      </c>
      <c r="D38" s="45">
        <v>163.499</v>
      </c>
      <c r="E38" s="45">
        <v>106.687</v>
      </c>
      <c r="F38" s="45"/>
      <c r="G38" s="45">
        <v>98.593</v>
      </c>
      <c r="H38" s="45">
        <v>42.915</v>
      </c>
      <c r="I38" s="45"/>
      <c r="J38" s="45">
        <v>64.56</v>
      </c>
      <c r="K38" s="45">
        <v>65.753</v>
      </c>
      <c r="L38" s="45">
        <v>55.628</v>
      </c>
      <c r="M38" s="45">
        <v>65.189</v>
      </c>
      <c r="N38" s="45">
        <v>108.192</v>
      </c>
      <c r="O38" s="45">
        <v>177.778</v>
      </c>
      <c r="P38" s="45">
        <v>88.682</v>
      </c>
      <c r="Q38" s="45">
        <v>87.219</v>
      </c>
    </row>
    <row r="39" spans="1:17" ht="15">
      <c r="A39" s="99" t="s">
        <v>258</v>
      </c>
      <c r="B39" s="44">
        <v>30</v>
      </c>
      <c r="C39" s="45">
        <v>158.057</v>
      </c>
      <c r="D39" s="45">
        <v>165.249</v>
      </c>
      <c r="E39" s="45">
        <v>107.687</v>
      </c>
      <c r="F39" s="45"/>
      <c r="G39" s="45">
        <v>99.093</v>
      </c>
      <c r="H39" s="45">
        <v>43.165</v>
      </c>
      <c r="I39" s="45"/>
      <c r="J39" s="45">
        <v>64.81</v>
      </c>
      <c r="K39" s="45">
        <v>66.003</v>
      </c>
      <c r="L39" s="45">
        <v>55.878</v>
      </c>
      <c r="M39" s="45">
        <v>65.439</v>
      </c>
      <c r="N39" s="45">
        <v>109.192</v>
      </c>
      <c r="O39" s="45">
        <v>179.528</v>
      </c>
      <c r="P39" s="45">
        <v>88.932</v>
      </c>
      <c r="Q39" s="45">
        <v>87.469</v>
      </c>
    </row>
    <row r="40" spans="1:17" ht="15">
      <c r="A40" s="99" t="s">
        <v>259</v>
      </c>
      <c r="B40" s="44">
        <v>53</v>
      </c>
      <c r="C40" s="45">
        <v>163.012</v>
      </c>
      <c r="D40" s="45">
        <v>170.472</v>
      </c>
      <c r="E40" s="45">
        <v>111.672</v>
      </c>
      <c r="F40" s="45"/>
      <c r="G40" s="45">
        <v>104.413</v>
      </c>
      <c r="H40" s="45">
        <v>45.625</v>
      </c>
      <c r="I40" s="45"/>
      <c r="J40" s="45">
        <v>68.296</v>
      </c>
      <c r="K40" s="45">
        <v>69.503</v>
      </c>
      <c r="L40" s="45">
        <v>58.952</v>
      </c>
      <c r="M40" s="45">
        <v>68.899</v>
      </c>
      <c r="N40" s="45">
        <v>113.214</v>
      </c>
      <c r="O40" s="45">
        <v>186.041</v>
      </c>
      <c r="P40" s="45">
        <v>94.495</v>
      </c>
      <c r="Q40" s="45">
        <v>92.926</v>
      </c>
    </row>
    <row r="41" spans="1:17" ht="15">
      <c r="A41" s="99" t="s">
        <v>312</v>
      </c>
      <c r="B41" s="44">
        <v>64</v>
      </c>
      <c r="C41" s="45">
        <v>165.576</v>
      </c>
      <c r="D41" s="45">
        <v>173.175</v>
      </c>
      <c r="E41" s="45">
        <v>113.735</v>
      </c>
      <c r="F41" s="45"/>
      <c r="G41" s="45">
        <v>107.166</v>
      </c>
      <c r="H41" s="45">
        <v>46.898</v>
      </c>
      <c r="I41" s="45"/>
      <c r="J41" s="45">
        <v>70.1</v>
      </c>
      <c r="K41" s="45">
        <v>71.314</v>
      </c>
      <c r="L41" s="45">
        <v>60.543</v>
      </c>
      <c r="M41" s="45">
        <v>70.689</v>
      </c>
      <c r="N41" s="45">
        <v>115.295</v>
      </c>
      <c r="O41" s="45">
        <v>189.411</v>
      </c>
      <c r="P41" s="45">
        <v>97.373</v>
      </c>
      <c r="Q41" s="45">
        <v>95.75</v>
      </c>
    </row>
    <row r="42" spans="1:17" ht="15">
      <c r="A42" s="99" t="s">
        <v>261</v>
      </c>
      <c r="B42" s="44">
        <v>76</v>
      </c>
      <c r="C42" s="45">
        <v>183.636</v>
      </c>
      <c r="D42" s="45">
        <v>192.211</v>
      </c>
      <c r="E42" s="45">
        <v>128.26</v>
      </c>
      <c r="F42" s="45"/>
      <c r="G42" s="45">
        <v>126.558</v>
      </c>
      <c r="H42" s="45">
        <v>55.865</v>
      </c>
      <c r="I42" s="45"/>
      <c r="J42" s="45">
        <v>82.807</v>
      </c>
      <c r="K42" s="45">
        <v>84.072</v>
      </c>
      <c r="L42" s="45">
        <v>71.747</v>
      </c>
      <c r="M42" s="45">
        <v>83.298</v>
      </c>
      <c r="N42" s="45">
        <v>129.953</v>
      </c>
      <c r="O42" s="45">
        <v>213.149</v>
      </c>
      <c r="P42" s="45">
        <v>117.648</v>
      </c>
      <c r="Q42" s="45">
        <v>115.637</v>
      </c>
    </row>
    <row r="43" spans="1:17" ht="15">
      <c r="A43" s="99" t="s">
        <v>121</v>
      </c>
      <c r="B43" s="44">
        <v>90</v>
      </c>
      <c r="C43" s="45">
        <v>185.636</v>
      </c>
      <c r="D43" s="45">
        <v>194.461</v>
      </c>
      <c r="E43" s="45">
        <v>129.51</v>
      </c>
      <c r="F43" s="45"/>
      <c r="G43" s="45">
        <v>127.058</v>
      </c>
      <c r="H43" s="45">
        <v>56.115</v>
      </c>
      <c r="I43" s="45"/>
      <c r="J43" s="45">
        <v>83.307</v>
      </c>
      <c r="K43" s="45">
        <v>84.572</v>
      </c>
      <c r="L43" s="45">
        <v>71.997</v>
      </c>
      <c r="M43" s="45">
        <v>83.798</v>
      </c>
      <c r="N43" s="45">
        <v>131.203</v>
      </c>
      <c r="O43" s="45">
        <v>215.149</v>
      </c>
      <c r="P43" s="45">
        <v>117.898</v>
      </c>
      <c r="Q43" s="45">
        <v>115.887</v>
      </c>
    </row>
    <row r="44" spans="1:17" ht="15">
      <c r="A44" s="99" t="s">
        <v>122</v>
      </c>
      <c r="B44" s="44">
        <v>148</v>
      </c>
      <c r="C44" s="45">
        <v>192.22</v>
      </c>
      <c r="D44" s="45">
        <v>201.582</v>
      </c>
      <c r="E44" s="45">
        <v>134.549</v>
      </c>
      <c r="F44" s="45"/>
      <c r="G44" s="45">
        <v>133.284</v>
      </c>
      <c r="H44" s="45">
        <v>59.013</v>
      </c>
      <c r="I44" s="45"/>
      <c r="J44" s="45">
        <v>87.309</v>
      </c>
      <c r="K44" s="45">
        <v>88.59</v>
      </c>
      <c r="L44" s="45">
        <v>75.556</v>
      </c>
      <c r="M44" s="45">
        <v>87.772</v>
      </c>
      <c r="N44" s="45">
        <v>136.282</v>
      </c>
      <c r="O44" s="45">
        <v>223.408</v>
      </c>
      <c r="P44" s="45">
        <v>124.135</v>
      </c>
      <c r="Q44" s="45">
        <v>122.01</v>
      </c>
    </row>
    <row r="45" spans="1:17" ht="15">
      <c r="A45" s="99" t="s">
        <v>264</v>
      </c>
      <c r="B45" s="44">
        <v>180</v>
      </c>
      <c r="C45" s="45">
        <v>196.687</v>
      </c>
      <c r="D45" s="45">
        <v>206.292</v>
      </c>
      <c r="E45" s="45">
        <v>138.143</v>
      </c>
      <c r="F45" s="45"/>
      <c r="G45" s="45">
        <v>138.081</v>
      </c>
      <c r="H45" s="45">
        <v>61.231</v>
      </c>
      <c r="I45" s="45"/>
      <c r="J45" s="45">
        <v>90.453</v>
      </c>
      <c r="K45" s="45">
        <v>91.746</v>
      </c>
      <c r="L45" s="45">
        <v>78.328</v>
      </c>
      <c r="M45" s="45">
        <v>90.891</v>
      </c>
      <c r="N45" s="45">
        <v>139.908</v>
      </c>
      <c r="O45" s="45">
        <v>229.282</v>
      </c>
      <c r="P45" s="45">
        <v>129.15</v>
      </c>
      <c r="Q45" s="45">
        <v>126.93</v>
      </c>
    </row>
    <row r="46" spans="1:17" ht="15">
      <c r="A46" s="99" t="s">
        <v>263</v>
      </c>
      <c r="B46" s="44">
        <v>212</v>
      </c>
      <c r="C46" s="45">
        <v>209.804</v>
      </c>
      <c r="D46" s="45">
        <v>220.218</v>
      </c>
      <c r="E46" s="45">
        <v>148.23</v>
      </c>
      <c r="F46" s="45"/>
      <c r="G46" s="45">
        <v>149.962</v>
      </c>
      <c r="H46" s="45">
        <v>66.628</v>
      </c>
      <c r="I46" s="45"/>
      <c r="J46" s="45">
        <v>98.246</v>
      </c>
      <c r="K46" s="45">
        <v>99.569</v>
      </c>
      <c r="L46" s="45">
        <v>85.259</v>
      </c>
      <c r="M46" s="45">
        <v>98.628</v>
      </c>
      <c r="N46" s="45">
        <v>150.072</v>
      </c>
      <c r="O46" s="45">
        <v>245.655</v>
      </c>
      <c r="P46" s="45">
        <v>141.288</v>
      </c>
      <c r="Q46" s="45">
        <v>138.846</v>
      </c>
    </row>
    <row r="47" spans="1:17" ht="15">
      <c r="A47" s="99" t="s">
        <v>262</v>
      </c>
      <c r="B47" s="44">
        <v>233</v>
      </c>
      <c r="C47" s="45">
        <v>197.836</v>
      </c>
      <c r="D47" s="45">
        <v>207.604</v>
      </c>
      <c r="E47" s="45">
        <v>138.605</v>
      </c>
      <c r="F47" s="45"/>
      <c r="G47" s="45">
        <v>137.112</v>
      </c>
      <c r="H47" s="45">
        <v>60.686</v>
      </c>
      <c r="I47" s="45"/>
      <c r="J47" s="45">
        <v>89.826</v>
      </c>
      <c r="K47" s="45">
        <v>91.114</v>
      </c>
      <c r="L47" s="45">
        <v>77.834</v>
      </c>
      <c r="M47" s="45">
        <v>90.273</v>
      </c>
      <c r="N47" s="45">
        <v>140.359</v>
      </c>
      <c r="O47" s="45">
        <v>229.926</v>
      </c>
      <c r="P47" s="45">
        <v>127.853</v>
      </c>
      <c r="Q47" s="45">
        <v>125.667</v>
      </c>
    </row>
    <row r="48" spans="1:17" ht="15">
      <c r="A48" s="99" t="s">
        <v>313</v>
      </c>
      <c r="B48" s="44">
        <v>12</v>
      </c>
      <c r="C48" s="45">
        <v>204.345</v>
      </c>
      <c r="D48" s="45">
        <v>214.464</v>
      </c>
      <c r="E48" s="45">
        <v>143.84</v>
      </c>
      <c r="F48" s="45"/>
      <c r="G48" s="45">
        <v>144.101</v>
      </c>
      <c r="H48" s="45">
        <v>63.918</v>
      </c>
      <c r="I48" s="45"/>
      <c r="J48" s="45">
        <v>94.406</v>
      </c>
      <c r="K48" s="45">
        <v>95.712</v>
      </c>
      <c r="L48" s="45">
        <v>81.872</v>
      </c>
      <c r="M48" s="45">
        <v>94.817</v>
      </c>
      <c r="N48" s="45">
        <v>145.642</v>
      </c>
      <c r="O48" s="45">
        <v>238.48</v>
      </c>
      <c r="P48" s="45">
        <v>135.16</v>
      </c>
      <c r="Q48" s="45">
        <v>132.834</v>
      </c>
    </row>
    <row r="49" spans="1:17" ht="15">
      <c r="A49" s="99" t="s">
        <v>123</v>
      </c>
      <c r="B49" s="44">
        <v>33</v>
      </c>
      <c r="C49" s="45">
        <v>230.693</v>
      </c>
      <c r="D49" s="45">
        <v>242.365</v>
      </c>
      <c r="E49" s="45">
        <v>164.721</v>
      </c>
      <c r="F49" s="45"/>
      <c r="G49" s="45">
        <v>170.726</v>
      </c>
      <c r="H49" s="45">
        <v>76.133</v>
      </c>
      <c r="I49" s="45"/>
      <c r="J49" s="45">
        <v>111.861</v>
      </c>
      <c r="K49" s="45">
        <v>113.236</v>
      </c>
      <c r="L49" s="45">
        <v>97.073</v>
      </c>
      <c r="M49" s="45">
        <v>112.142</v>
      </c>
      <c r="N49" s="45">
        <v>166.701</v>
      </c>
      <c r="O49" s="45">
        <v>272.404</v>
      </c>
      <c r="P49" s="45">
        <v>162.463</v>
      </c>
      <c r="Q49" s="45">
        <v>159.622</v>
      </c>
    </row>
    <row r="50" spans="1:17" ht="15">
      <c r="A50" s="99" t="s">
        <v>267</v>
      </c>
      <c r="B50" s="44">
        <v>56</v>
      </c>
      <c r="C50" s="45">
        <v>242.619</v>
      </c>
      <c r="D50" s="45">
        <v>254.936</v>
      </c>
      <c r="E50" s="45">
        <v>174.313</v>
      </c>
      <c r="F50" s="45"/>
      <c r="G50" s="45">
        <v>183.531</v>
      </c>
      <c r="H50" s="45">
        <v>82.054</v>
      </c>
      <c r="I50" s="45"/>
      <c r="J50" s="45">
        <v>120.252</v>
      </c>
      <c r="K50" s="45">
        <v>121.66</v>
      </c>
      <c r="L50" s="45">
        <v>104.472</v>
      </c>
      <c r="M50" s="45">
        <v>120.468</v>
      </c>
      <c r="N50" s="45">
        <v>176.381</v>
      </c>
      <c r="O50" s="45">
        <v>288.079</v>
      </c>
      <c r="P50" s="45">
        <v>175.851</v>
      </c>
      <c r="Q50" s="45">
        <v>172.754</v>
      </c>
    </row>
    <row r="51" spans="1:17" ht="15">
      <c r="A51" s="99" t="s">
        <v>268</v>
      </c>
      <c r="B51" s="44">
        <v>77</v>
      </c>
      <c r="C51" s="45">
        <v>212.792</v>
      </c>
      <c r="D51" s="45">
        <v>223.496</v>
      </c>
      <c r="E51" s="45">
        <v>150.324</v>
      </c>
      <c r="F51" s="45"/>
      <c r="G51" s="45">
        <v>151.505</v>
      </c>
      <c r="H51" s="45">
        <v>67.245</v>
      </c>
      <c r="I51" s="45"/>
      <c r="J51" s="45">
        <v>99.266</v>
      </c>
      <c r="K51" s="45">
        <v>100.59</v>
      </c>
      <c r="L51" s="45">
        <v>85.967</v>
      </c>
      <c r="M51" s="45">
        <v>99.644</v>
      </c>
      <c r="N51" s="45">
        <v>152.172</v>
      </c>
      <c r="O51" s="45">
        <v>248.876</v>
      </c>
      <c r="P51" s="45">
        <v>142.367</v>
      </c>
      <c r="Q51" s="45">
        <v>139.909</v>
      </c>
    </row>
    <row r="52" spans="1:17" ht="15">
      <c r="A52" s="99" t="s">
        <v>124</v>
      </c>
      <c r="B52" s="44">
        <v>96</v>
      </c>
      <c r="C52" s="45">
        <v>207.157</v>
      </c>
      <c r="D52" s="45">
        <v>217.58</v>
      </c>
      <c r="E52" s="45">
        <v>145.862</v>
      </c>
      <c r="F52" s="45"/>
      <c r="G52" s="45">
        <v>141.456</v>
      </c>
      <c r="H52" s="45">
        <v>64.807</v>
      </c>
      <c r="I52" s="45"/>
      <c r="J52" s="45">
        <v>92.853</v>
      </c>
      <c r="K52" s="45">
        <v>94.15</v>
      </c>
      <c r="L52" s="45">
        <v>80.122</v>
      </c>
      <c r="M52" s="45">
        <v>95.475</v>
      </c>
      <c r="N52" s="45">
        <v>145.447</v>
      </c>
      <c r="O52" s="45">
        <v>237.963</v>
      </c>
      <c r="P52" s="45">
        <v>131.587</v>
      </c>
      <c r="Q52" s="45">
        <v>129.34</v>
      </c>
    </row>
    <row r="53" spans="1:17" ht="15">
      <c r="A53" s="99" t="s">
        <v>269</v>
      </c>
      <c r="B53" s="44">
        <v>123</v>
      </c>
      <c r="C53" s="45">
        <v>217.829</v>
      </c>
      <c r="D53" s="45">
        <v>228.817</v>
      </c>
      <c r="E53" s="45">
        <v>154.488</v>
      </c>
      <c r="F53" s="45"/>
      <c r="G53" s="45">
        <v>152.68</v>
      </c>
      <c r="H53" s="45">
        <v>70.216</v>
      </c>
      <c r="I53" s="45"/>
      <c r="J53" s="45">
        <v>100.209</v>
      </c>
      <c r="K53" s="45">
        <v>101.535</v>
      </c>
      <c r="L53" s="45">
        <v>86.608</v>
      </c>
      <c r="M53" s="45">
        <v>102.991</v>
      </c>
      <c r="N53" s="45">
        <v>153.932</v>
      </c>
      <c r="O53" s="45">
        <v>251.703</v>
      </c>
      <c r="P53" s="45">
        <v>143.323</v>
      </c>
      <c r="Q53" s="45">
        <v>140.852</v>
      </c>
    </row>
    <row r="54" spans="1:17" ht="15">
      <c r="A54" s="99" t="s">
        <v>125</v>
      </c>
      <c r="B54" s="44">
        <v>156</v>
      </c>
      <c r="C54" s="45">
        <v>227.3</v>
      </c>
      <c r="D54" s="45">
        <v>238.67</v>
      </c>
      <c r="E54" s="45">
        <v>161.575</v>
      </c>
      <c r="F54" s="45"/>
      <c r="G54" s="45">
        <v>160.775</v>
      </c>
      <c r="H54" s="45">
        <v>74.125</v>
      </c>
      <c r="I54" s="45"/>
      <c r="J54" s="45">
        <v>105.685</v>
      </c>
      <c r="K54" s="45">
        <v>107.031</v>
      </c>
      <c r="L54" s="45">
        <v>91.246</v>
      </c>
      <c r="M54" s="45">
        <v>108.577</v>
      </c>
      <c r="N54" s="45">
        <v>160.923</v>
      </c>
      <c r="O54" s="45">
        <v>263.249</v>
      </c>
      <c r="P54" s="45">
        <v>151.514</v>
      </c>
      <c r="Q54" s="45">
        <v>148.891</v>
      </c>
    </row>
    <row r="55" spans="1:17" ht="15">
      <c r="A55" s="99" t="s">
        <v>271</v>
      </c>
      <c r="B55" s="44">
        <v>195</v>
      </c>
      <c r="C55" s="45">
        <v>238.454</v>
      </c>
      <c r="D55" s="45">
        <v>250.414</v>
      </c>
      <c r="E55" s="45">
        <v>170.59</v>
      </c>
      <c r="F55" s="45"/>
      <c r="G55" s="45">
        <v>172.506</v>
      </c>
      <c r="H55" s="45">
        <v>79.777</v>
      </c>
      <c r="I55" s="45"/>
      <c r="J55" s="45">
        <v>113.372</v>
      </c>
      <c r="K55" s="45">
        <v>114.749</v>
      </c>
      <c r="L55" s="45">
        <v>98.024</v>
      </c>
      <c r="M55" s="45">
        <v>116.433</v>
      </c>
      <c r="N55" s="45">
        <v>169.791</v>
      </c>
      <c r="O55" s="45">
        <v>277.609</v>
      </c>
      <c r="P55" s="45">
        <v>163.778</v>
      </c>
      <c r="Q55" s="45">
        <v>160.922</v>
      </c>
    </row>
    <row r="56" spans="1:17" ht="15">
      <c r="A56" s="99" t="s">
        <v>126</v>
      </c>
      <c r="B56" s="44">
        <v>217</v>
      </c>
      <c r="C56" s="45">
        <v>233.573</v>
      </c>
      <c r="D56" s="45">
        <v>245.196</v>
      </c>
      <c r="E56" s="45">
        <v>166.182</v>
      </c>
      <c r="F56" s="45"/>
      <c r="G56" s="45">
        <v>166.295</v>
      </c>
      <c r="H56" s="45">
        <v>76.794</v>
      </c>
      <c r="I56" s="45"/>
      <c r="J56" s="45">
        <v>109.225</v>
      </c>
      <c r="K56" s="45">
        <v>110.584</v>
      </c>
      <c r="L56" s="45">
        <v>94.396</v>
      </c>
      <c r="M56" s="45">
        <v>112.189</v>
      </c>
      <c r="N56" s="45">
        <v>165.468</v>
      </c>
      <c r="O56" s="45">
        <v>270.894</v>
      </c>
      <c r="P56" s="45">
        <v>157.012</v>
      </c>
      <c r="Q56" s="45">
        <v>154.289</v>
      </c>
    </row>
    <row r="57" spans="1:17" ht="15">
      <c r="A57" s="99" t="s">
        <v>272</v>
      </c>
      <c r="B57" s="44">
        <v>14</v>
      </c>
      <c r="C57" s="45">
        <v>239.495</v>
      </c>
      <c r="D57" s="45">
        <v>251.432</v>
      </c>
      <c r="E57" s="45">
        <v>170.969</v>
      </c>
      <c r="F57" s="45"/>
      <c r="G57" s="45">
        <v>172.524</v>
      </c>
      <c r="H57" s="45">
        <v>79.795</v>
      </c>
      <c r="I57" s="45"/>
      <c r="J57" s="45">
        <v>113.306</v>
      </c>
      <c r="K57" s="45">
        <v>114.682</v>
      </c>
      <c r="L57" s="45">
        <v>97.995</v>
      </c>
      <c r="M57" s="45">
        <v>116.36</v>
      </c>
      <c r="N57" s="45">
        <v>170.177</v>
      </c>
      <c r="O57" s="45">
        <v>278.519</v>
      </c>
      <c r="P57" s="45">
        <v>163.524</v>
      </c>
      <c r="Q57" s="45">
        <v>160.677</v>
      </c>
    </row>
    <row r="58" spans="1:17" ht="15">
      <c r="A58" s="99" t="s">
        <v>273</v>
      </c>
      <c r="B58" s="44">
        <v>23</v>
      </c>
      <c r="C58" s="45">
        <v>242.495</v>
      </c>
      <c r="D58" s="45">
        <v>254.682</v>
      </c>
      <c r="E58" s="45">
        <v>172.719</v>
      </c>
      <c r="F58" s="45"/>
      <c r="G58" s="45">
        <v>173.524</v>
      </c>
      <c r="H58" s="45">
        <v>80.045</v>
      </c>
      <c r="I58" s="45"/>
      <c r="J58" s="45">
        <v>113.806</v>
      </c>
      <c r="K58" s="45">
        <v>115.182</v>
      </c>
      <c r="L58" s="45">
        <v>98.495</v>
      </c>
      <c r="M58" s="45">
        <v>116.86</v>
      </c>
      <c r="N58" s="45">
        <v>171.927</v>
      </c>
      <c r="O58" s="45">
        <v>281.519</v>
      </c>
      <c r="P58" s="45">
        <v>164.024</v>
      </c>
      <c r="Q58" s="45">
        <v>161.177</v>
      </c>
    </row>
    <row r="59" spans="1:17" ht="15">
      <c r="A59" s="99" t="s">
        <v>274</v>
      </c>
      <c r="B59" s="44">
        <v>38</v>
      </c>
      <c r="C59" s="45">
        <v>258.031</v>
      </c>
      <c r="D59" s="45">
        <v>271.04</v>
      </c>
      <c r="E59" s="45">
        <v>185.277</v>
      </c>
      <c r="F59" s="45"/>
      <c r="G59" s="45">
        <v>189.864</v>
      </c>
      <c r="H59" s="45">
        <v>87.919</v>
      </c>
      <c r="I59" s="45"/>
      <c r="J59" s="45">
        <v>124.514</v>
      </c>
      <c r="K59" s="45">
        <v>125.932</v>
      </c>
      <c r="L59" s="45">
        <v>107.937</v>
      </c>
      <c r="M59" s="45">
        <v>127.803</v>
      </c>
      <c r="N59" s="45">
        <v>184.279</v>
      </c>
      <c r="O59" s="45">
        <v>301.522</v>
      </c>
      <c r="P59" s="45">
        <v>181.109</v>
      </c>
      <c r="Q59" s="45">
        <v>177.936</v>
      </c>
    </row>
    <row r="60" spans="1:17" ht="15">
      <c r="A60" s="99" t="s">
        <v>314</v>
      </c>
      <c r="B60" s="44">
        <v>80</v>
      </c>
      <c r="C60" s="45">
        <v>264.961</v>
      </c>
      <c r="D60" s="45">
        <v>278.337</v>
      </c>
      <c r="E60" s="45">
        <v>190.877</v>
      </c>
      <c r="F60" s="45"/>
      <c r="G60" s="45">
        <v>197.153</v>
      </c>
      <c r="H60" s="45">
        <v>91.431</v>
      </c>
      <c r="I60" s="45"/>
      <c r="J60" s="45">
        <v>129.29</v>
      </c>
      <c r="K60" s="45">
        <v>130.727</v>
      </c>
      <c r="L60" s="45">
        <v>112.148</v>
      </c>
      <c r="M60" s="45">
        <v>132.684</v>
      </c>
      <c r="N60" s="45">
        <v>189.788</v>
      </c>
      <c r="O60" s="45">
        <v>310.443</v>
      </c>
      <c r="P60" s="45">
        <v>188.729</v>
      </c>
      <c r="Q60" s="45">
        <v>185.411</v>
      </c>
    </row>
    <row r="61" spans="1:17" ht="15">
      <c r="A61" s="99" t="s">
        <v>315</v>
      </c>
      <c r="B61" s="44">
        <v>88</v>
      </c>
      <c r="C61" s="45">
        <v>268.211</v>
      </c>
      <c r="D61" s="45">
        <v>281.587</v>
      </c>
      <c r="E61" s="45">
        <v>192.877</v>
      </c>
      <c r="F61" s="45"/>
      <c r="G61" s="45">
        <v>198.153</v>
      </c>
      <c r="H61" s="45">
        <v>91.681</v>
      </c>
      <c r="I61" s="45"/>
      <c r="J61" s="45">
        <v>129.79</v>
      </c>
      <c r="K61" s="45">
        <v>131.477</v>
      </c>
      <c r="L61" s="45">
        <v>112.648</v>
      </c>
      <c r="M61" s="45">
        <v>133.434</v>
      </c>
      <c r="N61" s="45">
        <v>191.788</v>
      </c>
      <c r="O61" s="45">
        <v>313.693</v>
      </c>
      <c r="P61" s="45">
        <v>189.229</v>
      </c>
      <c r="Q61" s="45">
        <v>185.911</v>
      </c>
    </row>
    <row r="62" spans="1:17" ht="15">
      <c r="A62" s="99" t="s">
        <v>27</v>
      </c>
      <c r="B62" s="44">
        <v>105</v>
      </c>
      <c r="C62" s="45">
        <v>278.46</v>
      </c>
      <c r="D62" s="45">
        <v>292.378</v>
      </c>
      <c r="E62" s="45">
        <v>201.161</v>
      </c>
      <c r="F62" s="45"/>
      <c r="G62" s="45">
        <v>208.932</v>
      </c>
      <c r="H62" s="45">
        <v>96.875</v>
      </c>
      <c r="I62" s="45"/>
      <c r="J62" s="45">
        <v>136.853</v>
      </c>
      <c r="K62" s="45">
        <v>138.569</v>
      </c>
      <c r="L62" s="45">
        <v>118.877</v>
      </c>
      <c r="M62" s="45">
        <v>140.652</v>
      </c>
      <c r="N62" s="45">
        <v>199.937</v>
      </c>
      <c r="O62" s="45">
        <v>326.888</v>
      </c>
      <c r="P62" s="45">
        <v>200.5</v>
      </c>
      <c r="Q62" s="45">
        <v>196.966</v>
      </c>
    </row>
    <row r="63" spans="1:17" ht="15">
      <c r="A63" s="100" t="s">
        <v>28</v>
      </c>
      <c r="B63" s="44">
        <v>138</v>
      </c>
      <c r="C63" s="45">
        <v>278.46</v>
      </c>
      <c r="D63" s="45">
        <v>292.378</v>
      </c>
      <c r="E63" s="45">
        <v>201.161</v>
      </c>
      <c r="F63" s="45"/>
      <c r="G63" s="45">
        <v>208.932</v>
      </c>
      <c r="H63" s="45">
        <v>96.875</v>
      </c>
      <c r="I63" s="45"/>
      <c r="J63" s="45">
        <v>136.853</v>
      </c>
      <c r="K63" s="45">
        <v>138.569</v>
      </c>
      <c r="L63" s="45">
        <v>118.877</v>
      </c>
      <c r="M63" s="45">
        <v>140.652</v>
      </c>
      <c r="N63" s="45">
        <v>199.937</v>
      </c>
      <c r="O63" s="45">
        <v>326.888</v>
      </c>
      <c r="P63" s="45">
        <v>200.5</v>
      </c>
      <c r="Q63" s="45">
        <v>196.966</v>
      </c>
    </row>
    <row r="64" spans="1:17" ht="15">
      <c r="A64" s="99" t="s">
        <v>29</v>
      </c>
      <c r="B64" s="44">
        <v>154</v>
      </c>
      <c r="C64" s="45">
        <v>289.571</v>
      </c>
      <c r="D64" s="45">
        <v>303.918</v>
      </c>
      <c r="E64" s="45">
        <v>209.467</v>
      </c>
      <c r="F64" s="45"/>
      <c r="G64" s="45">
        <v>218.213</v>
      </c>
      <c r="H64" s="45">
        <v>101.236</v>
      </c>
      <c r="I64" s="45"/>
      <c r="J64" s="45">
        <v>142.943</v>
      </c>
      <c r="K64" s="45">
        <v>144.682</v>
      </c>
      <c r="L64" s="45">
        <v>124.306</v>
      </c>
      <c r="M64" s="45">
        <v>146.865</v>
      </c>
      <c r="N64" s="45">
        <v>208.136</v>
      </c>
      <c r="O64" s="45">
        <v>340.331</v>
      </c>
      <c r="P64" s="45">
        <v>209.919</v>
      </c>
      <c r="Q64" s="45">
        <v>206.215</v>
      </c>
    </row>
    <row r="65" spans="1:17" ht="15">
      <c r="A65" s="99" t="s">
        <v>316</v>
      </c>
      <c r="B65" s="44">
        <v>179</v>
      </c>
      <c r="C65" s="45">
        <v>311.324</v>
      </c>
      <c r="D65" s="45">
        <v>326.823</v>
      </c>
      <c r="E65" s="45">
        <v>227.05</v>
      </c>
      <c r="F65" s="45"/>
      <c r="G65" s="45">
        <v>241.093</v>
      </c>
      <c r="H65" s="45">
        <v>112.26</v>
      </c>
      <c r="I65" s="45"/>
      <c r="J65" s="45">
        <v>157.936</v>
      </c>
      <c r="K65" s="45">
        <v>159.734</v>
      </c>
      <c r="L65" s="45">
        <v>137.526</v>
      </c>
      <c r="M65" s="45">
        <v>162.187</v>
      </c>
      <c r="N65" s="45">
        <v>225.431</v>
      </c>
      <c r="O65" s="45">
        <v>368.338</v>
      </c>
      <c r="P65" s="45">
        <v>233.841</v>
      </c>
      <c r="Q65" s="45">
        <v>229.68</v>
      </c>
    </row>
    <row r="66" spans="1:17" ht="15">
      <c r="A66" s="99" t="s">
        <v>30</v>
      </c>
      <c r="B66" s="44">
        <v>209</v>
      </c>
      <c r="C66" s="45">
        <v>322.365</v>
      </c>
      <c r="D66" s="45">
        <v>338.449</v>
      </c>
      <c r="E66" s="45">
        <v>235.973</v>
      </c>
      <c r="F66" s="45"/>
      <c r="G66" s="45">
        <v>252.705</v>
      </c>
      <c r="H66" s="45">
        <v>117.856</v>
      </c>
      <c r="I66" s="45"/>
      <c r="J66" s="45">
        <v>165.545</v>
      </c>
      <c r="K66" s="45">
        <v>167.374</v>
      </c>
      <c r="L66" s="45">
        <v>144.236</v>
      </c>
      <c r="M66" s="45">
        <v>169.963</v>
      </c>
      <c r="N66" s="45">
        <v>234.209</v>
      </c>
      <c r="O66" s="45">
        <v>382.552</v>
      </c>
      <c r="P66" s="45">
        <v>245.982</v>
      </c>
      <c r="Q66" s="45">
        <v>241.59</v>
      </c>
    </row>
    <row r="67" spans="1:48" ht="15.75">
      <c r="A67" s="99" t="s">
        <v>31</v>
      </c>
      <c r="B67" s="44">
        <v>218</v>
      </c>
      <c r="C67" s="45">
        <v>325.865</v>
      </c>
      <c r="D67" s="45">
        <v>341.949</v>
      </c>
      <c r="E67" s="45">
        <v>237.973</v>
      </c>
      <c r="F67" s="45"/>
      <c r="G67" s="45">
        <v>253.705</v>
      </c>
      <c r="H67" s="45">
        <v>118.106</v>
      </c>
      <c r="I67" s="45"/>
      <c r="J67" s="45">
        <v>166.295</v>
      </c>
      <c r="K67" s="45">
        <v>168.124</v>
      </c>
      <c r="L67" s="45">
        <v>144.736</v>
      </c>
      <c r="M67" s="45">
        <v>170.713</v>
      </c>
      <c r="N67" s="45">
        <v>236.209</v>
      </c>
      <c r="O67" s="45">
        <v>386.052</v>
      </c>
      <c r="P67" s="45">
        <v>246.482</v>
      </c>
      <c r="Q67" s="45">
        <v>242.09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17" ht="15">
      <c r="A68" s="100" t="s">
        <v>32</v>
      </c>
      <c r="B68" s="44">
        <v>250</v>
      </c>
      <c r="C68" s="45">
        <v>314.419</v>
      </c>
      <c r="D68" s="45">
        <v>329.897</v>
      </c>
      <c r="E68" s="45">
        <v>228.722</v>
      </c>
      <c r="F68" s="45"/>
      <c r="G68" s="45">
        <v>241.666</v>
      </c>
      <c r="H68" s="45">
        <v>112.305</v>
      </c>
      <c r="I68" s="45"/>
      <c r="J68" s="45">
        <v>158.406</v>
      </c>
      <c r="K68" s="45">
        <v>160.204</v>
      </c>
      <c r="L68" s="45">
        <v>137.78</v>
      </c>
      <c r="M68" s="45">
        <v>162.651</v>
      </c>
      <c r="N68" s="45">
        <v>227.109</v>
      </c>
      <c r="O68" s="45">
        <v>371.316</v>
      </c>
      <c r="P68" s="45">
        <v>233.895</v>
      </c>
      <c r="Q68" s="45">
        <v>229.743</v>
      </c>
    </row>
    <row r="69" spans="1:17" ht="15">
      <c r="A69" s="100" t="s">
        <v>33</v>
      </c>
      <c r="B69" s="44">
        <v>24</v>
      </c>
      <c r="C69" s="45">
        <v>327.82</v>
      </c>
      <c r="D69" s="45">
        <v>344.072</v>
      </c>
      <c r="E69" s="45">
        <v>238.725</v>
      </c>
      <c r="F69" s="45"/>
      <c r="G69" s="45">
        <v>253.08</v>
      </c>
      <c r="H69" s="45">
        <v>117.573</v>
      </c>
      <c r="I69" s="45"/>
      <c r="J69" s="45">
        <v>165.98</v>
      </c>
      <c r="K69" s="45">
        <v>167.805</v>
      </c>
      <c r="L69" s="45">
        <v>144.297</v>
      </c>
      <c r="M69" s="45">
        <v>170.375</v>
      </c>
      <c r="N69" s="45">
        <v>236.981</v>
      </c>
      <c r="O69" s="45">
        <v>387.563</v>
      </c>
      <c r="P69" s="45">
        <v>245.283</v>
      </c>
      <c r="Q69" s="45">
        <v>240.923</v>
      </c>
    </row>
    <row r="70" spans="1:52" ht="15.75">
      <c r="A70" s="100" t="s">
        <v>107</v>
      </c>
      <c r="B70" s="44">
        <v>58</v>
      </c>
      <c r="C70" s="45">
        <v>338.129</v>
      </c>
      <c r="D70" s="45">
        <v>354.927</v>
      </c>
      <c r="E70" s="45">
        <v>247.057</v>
      </c>
      <c r="F70" s="45"/>
      <c r="G70" s="45">
        <v>263.923</v>
      </c>
      <c r="H70" s="45">
        <v>122.797</v>
      </c>
      <c r="I70" s="45"/>
      <c r="J70" s="45">
        <v>173.085</v>
      </c>
      <c r="K70" s="45">
        <v>174.939</v>
      </c>
      <c r="L70" s="45">
        <v>150.562</v>
      </c>
      <c r="M70" s="45">
        <v>177.636</v>
      </c>
      <c r="N70" s="45">
        <v>245.177</v>
      </c>
      <c r="O70" s="45">
        <v>400.836</v>
      </c>
      <c r="P70" s="45">
        <v>256.62</v>
      </c>
      <c r="Q70" s="45">
        <v>252.044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>
      <c r="A71" s="99" t="s">
        <v>108</v>
      </c>
      <c r="B71" s="44">
        <v>82</v>
      </c>
      <c r="C71" s="45">
        <v>376.082</v>
      </c>
      <c r="D71" s="45">
        <v>394.888</v>
      </c>
      <c r="E71" s="45">
        <v>277.733</v>
      </c>
      <c r="F71" s="45"/>
      <c r="G71" s="45">
        <v>303.84</v>
      </c>
      <c r="H71" s="45">
        <v>142.031</v>
      </c>
      <c r="I71" s="45"/>
      <c r="J71" s="45">
        <v>199.242</v>
      </c>
      <c r="K71" s="45">
        <v>201.2</v>
      </c>
      <c r="L71" s="45">
        <v>173.627</v>
      </c>
      <c r="M71" s="45">
        <v>204.367</v>
      </c>
      <c r="N71" s="45">
        <v>275.352</v>
      </c>
      <c r="O71" s="45">
        <v>449.669</v>
      </c>
      <c r="P71" s="45">
        <v>298.355</v>
      </c>
      <c r="Q71" s="45">
        <v>292.983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>
      <c r="A72" s="99" t="s">
        <v>34</v>
      </c>
      <c r="B72" s="44">
        <v>88</v>
      </c>
      <c r="C72" s="45">
        <v>379.582</v>
      </c>
      <c r="D72" s="45">
        <v>398.638</v>
      </c>
      <c r="E72" s="45">
        <v>279.733</v>
      </c>
      <c r="F72" s="45"/>
      <c r="G72" s="45">
        <v>304.84</v>
      </c>
      <c r="H72" s="45">
        <v>142.281</v>
      </c>
      <c r="I72" s="45"/>
      <c r="J72" s="45">
        <v>199.992</v>
      </c>
      <c r="K72" s="45">
        <v>201.95</v>
      </c>
      <c r="L72" s="45">
        <v>174.127</v>
      </c>
      <c r="M72" s="45">
        <v>205.117</v>
      </c>
      <c r="N72" s="45">
        <v>277.602</v>
      </c>
      <c r="O72" s="45">
        <v>453.199</v>
      </c>
      <c r="P72" s="45">
        <v>298.855</v>
      </c>
      <c r="Q72" s="45">
        <v>293.483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>
      <c r="A73" s="99" t="s">
        <v>35</v>
      </c>
      <c r="B73" s="44">
        <v>96</v>
      </c>
      <c r="C73" s="45">
        <v>355.597</v>
      </c>
      <c r="D73" s="45">
        <v>373.384</v>
      </c>
      <c r="E73" s="45">
        <v>260.347</v>
      </c>
      <c r="F73" s="45"/>
      <c r="G73" s="45">
        <v>279.614</v>
      </c>
      <c r="H73" s="45">
        <v>130.126</v>
      </c>
      <c r="I73" s="45"/>
      <c r="J73" s="45">
        <v>183.462</v>
      </c>
      <c r="K73" s="45">
        <v>185.354</v>
      </c>
      <c r="L73" s="45">
        <v>159.551</v>
      </c>
      <c r="M73" s="45">
        <v>188.224</v>
      </c>
      <c r="N73" s="45">
        <v>258.533</v>
      </c>
      <c r="O73" s="45">
        <v>422.319</v>
      </c>
      <c r="P73" s="45">
        <v>272.48</v>
      </c>
      <c r="Q73" s="45">
        <v>267.611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>
      <c r="A74" s="99" t="s">
        <v>36</v>
      </c>
      <c r="B74" s="44">
        <v>131</v>
      </c>
      <c r="C74" s="45">
        <v>355.597</v>
      </c>
      <c r="D74" s="45">
        <v>373.384</v>
      </c>
      <c r="E74" s="45">
        <v>260.347</v>
      </c>
      <c r="F74" s="45"/>
      <c r="G74" s="45">
        <v>279.614</v>
      </c>
      <c r="H74" s="45">
        <v>130.126</v>
      </c>
      <c r="I74" s="45"/>
      <c r="J74" s="45">
        <v>183.462</v>
      </c>
      <c r="K74" s="45">
        <v>185.354</v>
      </c>
      <c r="L74" s="45">
        <v>159.551</v>
      </c>
      <c r="M74" s="45">
        <v>188.224</v>
      </c>
      <c r="N74" s="45">
        <v>258.533</v>
      </c>
      <c r="O74" s="45">
        <v>422.319</v>
      </c>
      <c r="P74" s="45">
        <v>272.48</v>
      </c>
      <c r="Q74" s="45">
        <v>267.611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>
      <c r="A75" s="99" t="s">
        <v>37</v>
      </c>
      <c r="B75" s="44">
        <v>133</v>
      </c>
      <c r="C75" s="45">
        <v>350.909</v>
      </c>
      <c r="D75" s="45">
        <v>368.447</v>
      </c>
      <c r="E75" s="45">
        <v>256.558</v>
      </c>
      <c r="F75" s="45"/>
      <c r="G75" s="45">
        <v>279.614</v>
      </c>
      <c r="H75" s="45">
        <v>130.126</v>
      </c>
      <c r="I75" s="45"/>
      <c r="J75" s="45">
        <v>183.462</v>
      </c>
      <c r="K75" s="45">
        <v>185.354</v>
      </c>
      <c r="L75" s="45">
        <v>159.551</v>
      </c>
      <c r="M75" s="45">
        <v>184.922</v>
      </c>
      <c r="N75" s="45">
        <v>258.533</v>
      </c>
      <c r="O75" s="45">
        <v>422.319</v>
      </c>
      <c r="P75" s="45">
        <v>272.48</v>
      </c>
      <c r="Q75" s="45">
        <v>267.611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>
      <c r="A76" s="99" t="s">
        <v>38</v>
      </c>
      <c r="B76" s="44">
        <v>158</v>
      </c>
      <c r="C76" s="45">
        <v>380.338</v>
      </c>
      <c r="D76" s="45">
        <v>408.192</v>
      </c>
      <c r="E76" s="45">
        <v>271.437</v>
      </c>
      <c r="F76" s="45"/>
      <c r="G76" s="45">
        <v>280.614</v>
      </c>
      <c r="H76" s="45">
        <v>130.376</v>
      </c>
      <c r="I76" s="45"/>
      <c r="J76" s="45">
        <v>193.108</v>
      </c>
      <c r="K76" s="45">
        <v>198.411</v>
      </c>
      <c r="L76" s="45">
        <v>170.762</v>
      </c>
      <c r="M76" s="45">
        <v>194.841</v>
      </c>
      <c r="N76" s="45">
        <v>260.533</v>
      </c>
      <c r="O76" s="45">
        <v>457.454</v>
      </c>
      <c r="P76" s="45">
        <v>283.493</v>
      </c>
      <c r="Q76" s="45">
        <v>272.98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>
      <c r="A77" s="99" t="s">
        <v>39</v>
      </c>
      <c r="B77" s="44">
        <v>171</v>
      </c>
      <c r="C77" s="45">
        <v>380.338</v>
      </c>
      <c r="D77" s="45">
        <v>408.192</v>
      </c>
      <c r="E77" s="45">
        <v>271.437</v>
      </c>
      <c r="F77" s="45"/>
      <c r="G77" s="45">
        <v>292.352</v>
      </c>
      <c r="H77" s="45">
        <v>136.032</v>
      </c>
      <c r="I77" s="45"/>
      <c r="J77" s="45">
        <v>193.108</v>
      </c>
      <c r="K77" s="45">
        <v>198.411</v>
      </c>
      <c r="L77" s="45">
        <v>170.762</v>
      </c>
      <c r="M77" s="45">
        <v>194.841</v>
      </c>
      <c r="N77" s="45">
        <v>269.209</v>
      </c>
      <c r="O77" s="45">
        <v>457.454</v>
      </c>
      <c r="P77" s="45">
        <v>283.493</v>
      </c>
      <c r="Q77" s="45">
        <v>272.98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>
      <c r="A78" s="99" t="s">
        <v>40</v>
      </c>
      <c r="B78" s="44">
        <v>182</v>
      </c>
      <c r="C78" s="45">
        <v>419.935</v>
      </c>
      <c r="D78" s="45">
        <v>453.248</v>
      </c>
      <c r="E78" s="45">
        <v>292.325</v>
      </c>
      <c r="F78" s="45"/>
      <c r="G78" s="45">
        <v>359.659</v>
      </c>
      <c r="H78" s="45">
        <v>148.218</v>
      </c>
      <c r="I78" s="45"/>
      <c r="J78" s="45">
        <v>207.205</v>
      </c>
      <c r="K78" s="45">
        <v>206.208</v>
      </c>
      <c r="L78" s="45">
        <v>177.544</v>
      </c>
      <c r="M78" s="45">
        <v>208.954</v>
      </c>
      <c r="N78" s="45">
        <v>318.909</v>
      </c>
      <c r="O78" s="45">
        <v>491.101</v>
      </c>
      <c r="P78" s="45">
        <v>272.98</v>
      </c>
      <c r="Q78" s="45">
        <v>334.571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>
      <c r="A79" s="99" t="s">
        <v>41</v>
      </c>
      <c r="B79" s="44">
        <v>208</v>
      </c>
      <c r="C79" s="45">
        <v>437.79</v>
      </c>
      <c r="D79" s="45">
        <v>478.734</v>
      </c>
      <c r="E79" s="45">
        <v>312.079</v>
      </c>
      <c r="F79" s="45"/>
      <c r="G79" s="45">
        <v>390.336</v>
      </c>
      <c r="H79" s="45">
        <v>156.043</v>
      </c>
      <c r="I79" s="45"/>
      <c r="J79" s="45">
        <v>230.659</v>
      </c>
      <c r="K79" s="45">
        <v>206.208</v>
      </c>
      <c r="L79" s="45">
        <v>162.454</v>
      </c>
      <c r="M79" s="45">
        <v>241.318</v>
      </c>
      <c r="N79" s="45">
        <v>349.444</v>
      </c>
      <c r="O79" s="45">
        <v>543.466</v>
      </c>
      <c r="P79" s="45">
        <v>272.98</v>
      </c>
      <c r="Q79" s="45">
        <v>373.523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>
      <c r="A80" s="99" t="s">
        <v>42</v>
      </c>
      <c r="B80" s="44">
        <v>215</v>
      </c>
      <c r="C80" s="45">
        <v>410.564</v>
      </c>
      <c r="D80" s="45">
        <v>432.478</v>
      </c>
      <c r="E80" s="45">
        <v>312.079</v>
      </c>
      <c r="F80" s="45"/>
      <c r="G80" s="45">
        <v>363.282</v>
      </c>
      <c r="H80" s="45">
        <v>156.043</v>
      </c>
      <c r="I80" s="45"/>
      <c r="J80" s="45">
        <v>230.659</v>
      </c>
      <c r="K80" s="45">
        <v>206.208</v>
      </c>
      <c r="L80" s="45">
        <v>162.454</v>
      </c>
      <c r="M80" s="45">
        <v>241.318</v>
      </c>
      <c r="N80" s="45">
        <v>321.63</v>
      </c>
      <c r="O80" s="45">
        <v>465.59</v>
      </c>
      <c r="P80" s="45">
        <v>272.98</v>
      </c>
      <c r="Q80" s="45">
        <v>308.032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17" ht="15">
      <c r="A81" s="99" t="s">
        <v>43</v>
      </c>
      <c r="B81" s="44">
        <v>221</v>
      </c>
      <c r="C81" s="45">
        <v>414.064</v>
      </c>
      <c r="D81" s="45">
        <v>435.978</v>
      </c>
      <c r="E81" s="45">
        <v>314.079</v>
      </c>
      <c r="F81" s="45"/>
      <c r="G81" s="45">
        <v>364.282</v>
      </c>
      <c r="H81" s="45">
        <v>156.293</v>
      </c>
      <c r="I81" s="45"/>
      <c r="J81" s="45">
        <v>231.409</v>
      </c>
      <c r="K81" s="45">
        <v>212.796</v>
      </c>
      <c r="L81" s="45">
        <v>162.954</v>
      </c>
      <c r="M81" s="45">
        <v>242.068</v>
      </c>
      <c r="N81" s="45">
        <v>323.63</v>
      </c>
      <c r="O81" s="45">
        <v>469.09</v>
      </c>
      <c r="P81" s="45">
        <v>273.48</v>
      </c>
      <c r="Q81" s="45">
        <v>308.532</v>
      </c>
    </row>
    <row r="82" spans="1:17" ht="15">
      <c r="A82" s="99" t="s">
        <v>44</v>
      </c>
      <c r="B82" s="44">
        <v>230</v>
      </c>
      <c r="C82" s="45">
        <v>394.556</v>
      </c>
      <c r="D82" s="45">
        <v>415.643</v>
      </c>
      <c r="E82" s="45">
        <v>298.54</v>
      </c>
      <c r="F82" s="45"/>
      <c r="G82" s="45">
        <v>337.58</v>
      </c>
      <c r="H82" s="45">
        <v>149.106</v>
      </c>
      <c r="I82" s="45"/>
      <c r="J82" s="45">
        <v>222.365</v>
      </c>
      <c r="K82" s="45">
        <v>205.881</v>
      </c>
      <c r="L82" s="45">
        <v>158.361</v>
      </c>
      <c r="M82" s="45">
        <v>232.175</v>
      </c>
      <c r="N82" s="45">
        <v>296.696</v>
      </c>
      <c r="O82" s="45">
        <v>447.235</v>
      </c>
      <c r="P82" s="45">
        <v>273.48</v>
      </c>
      <c r="Q82" s="45">
        <v>295.885</v>
      </c>
    </row>
    <row r="83" spans="1:17" ht="15">
      <c r="A83" s="99" t="s">
        <v>45</v>
      </c>
      <c r="B83" s="44">
        <v>246</v>
      </c>
      <c r="C83" s="45">
        <v>376.998</v>
      </c>
      <c r="D83" s="45">
        <v>396.982</v>
      </c>
      <c r="E83" s="45">
        <v>277.511</v>
      </c>
      <c r="F83" s="45"/>
      <c r="G83" s="45">
        <v>309.064</v>
      </c>
      <c r="H83" s="45">
        <v>138.568</v>
      </c>
      <c r="I83" s="45"/>
      <c r="J83" s="45">
        <v>210.232</v>
      </c>
      <c r="K83" s="45">
        <v>205.881</v>
      </c>
      <c r="L83" s="45">
        <v>158.361</v>
      </c>
      <c r="M83" s="45">
        <v>232.175</v>
      </c>
      <c r="N83" s="45">
        <v>269.64</v>
      </c>
      <c r="O83" s="45">
        <v>427.766</v>
      </c>
      <c r="P83" s="45">
        <v>273.48</v>
      </c>
      <c r="Q83" s="45">
        <v>278.857</v>
      </c>
    </row>
    <row r="84" spans="1:17" ht="15">
      <c r="A84" s="99" t="s">
        <v>46</v>
      </c>
      <c r="B84" s="44">
        <v>19</v>
      </c>
      <c r="C84" s="45">
        <v>406.9</v>
      </c>
      <c r="D84" s="45">
        <v>428.249</v>
      </c>
      <c r="E84" s="45">
        <v>289.92</v>
      </c>
      <c r="F84" s="45"/>
      <c r="G84" s="45">
        <v>327.111</v>
      </c>
      <c r="H84" s="45">
        <v>150.797</v>
      </c>
      <c r="I84" s="45"/>
      <c r="J84" s="45">
        <v>222.329</v>
      </c>
      <c r="K84" s="45">
        <v>198.985</v>
      </c>
      <c r="L84" s="45">
        <v>158.361</v>
      </c>
      <c r="M84" s="45">
        <v>241.967</v>
      </c>
      <c r="N84" s="45">
        <v>284.535</v>
      </c>
      <c r="O84" s="45">
        <v>474.227</v>
      </c>
      <c r="P84" s="45">
        <v>273.48</v>
      </c>
      <c r="Q84" s="45">
        <v>310.045</v>
      </c>
    </row>
    <row r="85" spans="1:17" ht="15">
      <c r="A85" s="99" t="s">
        <v>47</v>
      </c>
      <c r="B85" s="44">
        <v>34</v>
      </c>
      <c r="C85" s="45">
        <v>437.279</v>
      </c>
      <c r="D85" s="45">
        <v>459.208</v>
      </c>
      <c r="E85" s="45">
        <v>305.442</v>
      </c>
      <c r="F85" s="45"/>
      <c r="G85" s="45">
        <v>344.43</v>
      </c>
      <c r="H85" s="45">
        <v>175.049</v>
      </c>
      <c r="I85" s="45"/>
      <c r="J85" s="45">
        <v>236.316</v>
      </c>
      <c r="K85" s="45">
        <v>207.945</v>
      </c>
      <c r="L85" s="45">
        <v>158.861</v>
      </c>
      <c r="M85" s="45">
        <v>233.356</v>
      </c>
      <c r="N85" s="45">
        <v>300.732</v>
      </c>
      <c r="O85" s="45">
        <v>514.214</v>
      </c>
      <c r="P85" s="45">
        <v>273.98</v>
      </c>
      <c r="Q85" s="45">
        <v>336.178</v>
      </c>
    </row>
    <row r="86" spans="1:17" ht="15">
      <c r="A86" s="99" t="s">
        <v>48</v>
      </c>
      <c r="B86" s="44">
        <v>44</v>
      </c>
      <c r="C86" s="45">
        <v>410.951</v>
      </c>
      <c r="D86" s="45">
        <v>433.574</v>
      </c>
      <c r="E86" s="45">
        <v>284.364</v>
      </c>
      <c r="F86" s="45"/>
      <c r="G86" s="45">
        <v>344.43</v>
      </c>
      <c r="H86" s="45">
        <v>175.049</v>
      </c>
      <c r="I86" s="45"/>
      <c r="J86" s="45">
        <v>227.542</v>
      </c>
      <c r="K86" s="45">
        <v>240.157</v>
      </c>
      <c r="L86" s="45">
        <v>166.11</v>
      </c>
      <c r="M86" s="45">
        <v>225.509</v>
      </c>
      <c r="N86" s="45">
        <v>300.732</v>
      </c>
      <c r="O86" s="45">
        <v>487.539</v>
      </c>
      <c r="P86" s="45">
        <v>273.98</v>
      </c>
      <c r="Q86" s="45">
        <v>309.801</v>
      </c>
    </row>
    <row r="87" spans="1:17" ht="15">
      <c r="A87" s="99" t="s">
        <v>49</v>
      </c>
      <c r="B87" s="44">
        <v>62</v>
      </c>
      <c r="C87" s="45">
        <v>410.951</v>
      </c>
      <c r="D87" s="45">
        <v>433.574</v>
      </c>
      <c r="E87" s="45">
        <v>284.364</v>
      </c>
      <c r="F87" s="45"/>
      <c r="G87" s="45">
        <v>344.43</v>
      </c>
      <c r="H87" s="45">
        <v>175.049</v>
      </c>
      <c r="I87" s="45"/>
      <c r="J87" s="45">
        <v>227.542</v>
      </c>
      <c r="K87" s="45">
        <v>240.157</v>
      </c>
      <c r="L87" s="45">
        <v>166.11</v>
      </c>
      <c r="M87" s="45">
        <v>225.509</v>
      </c>
      <c r="N87" s="45">
        <v>300.732</v>
      </c>
      <c r="O87" s="45">
        <v>487.539</v>
      </c>
      <c r="P87" s="45">
        <v>273.98</v>
      </c>
      <c r="Q87" s="45">
        <v>309.801</v>
      </c>
    </row>
    <row r="88" spans="1:17" ht="15">
      <c r="A88" s="99" t="s">
        <v>50</v>
      </c>
      <c r="B88" s="44">
        <v>65</v>
      </c>
      <c r="C88" s="45">
        <v>424.195</v>
      </c>
      <c r="D88" s="45">
        <v>446.979</v>
      </c>
      <c r="E88" s="45">
        <v>297.298</v>
      </c>
      <c r="F88" s="45"/>
      <c r="G88" s="45">
        <v>344.43</v>
      </c>
      <c r="H88" s="45">
        <v>175.049</v>
      </c>
      <c r="I88" s="45"/>
      <c r="J88" s="45">
        <v>235.625</v>
      </c>
      <c r="K88" s="45">
        <v>229.701</v>
      </c>
      <c r="L88" s="45">
        <v>191.202</v>
      </c>
      <c r="M88" s="45">
        <v>217.806</v>
      </c>
      <c r="N88" s="45">
        <v>300.732</v>
      </c>
      <c r="O88" s="45">
        <v>504.806</v>
      </c>
      <c r="P88" s="45">
        <v>273.98</v>
      </c>
      <c r="Q88" s="45">
        <v>319.383</v>
      </c>
    </row>
    <row r="89" spans="1:17" ht="15">
      <c r="A89" s="99" t="s">
        <v>51</v>
      </c>
      <c r="B89" s="44">
        <v>91</v>
      </c>
      <c r="C89" s="45">
        <v>475.716</v>
      </c>
      <c r="D89" s="45">
        <v>497.74</v>
      </c>
      <c r="E89" s="45">
        <v>316.105</v>
      </c>
      <c r="F89" s="45"/>
      <c r="G89" s="45">
        <v>359.732</v>
      </c>
      <c r="H89" s="45">
        <v>184.895</v>
      </c>
      <c r="I89" s="45"/>
      <c r="J89" s="45">
        <v>243.852</v>
      </c>
      <c r="K89" s="45">
        <v>214.319</v>
      </c>
      <c r="L89" s="45">
        <v>165.428</v>
      </c>
      <c r="M89" s="45">
        <v>213.768</v>
      </c>
      <c r="N89" s="45">
        <v>329.04</v>
      </c>
      <c r="O89" s="45">
        <v>594.699</v>
      </c>
      <c r="P89" s="45">
        <v>273.98</v>
      </c>
      <c r="Q89" s="45">
        <v>366.026</v>
      </c>
    </row>
    <row r="90" spans="1:17" ht="15">
      <c r="A90" s="99" t="s">
        <v>52</v>
      </c>
      <c r="B90" s="44">
        <v>127</v>
      </c>
      <c r="C90" s="45">
        <v>506.005</v>
      </c>
      <c r="D90" s="45">
        <v>527.307</v>
      </c>
      <c r="E90" s="45">
        <v>351.795</v>
      </c>
      <c r="F90" s="45"/>
      <c r="G90" s="45">
        <v>393.273</v>
      </c>
      <c r="H90" s="45">
        <v>195.622</v>
      </c>
      <c r="I90" s="45"/>
      <c r="J90" s="45">
        <v>262.891</v>
      </c>
      <c r="K90" s="45">
        <v>299.692</v>
      </c>
      <c r="L90" s="45">
        <v>226.219</v>
      </c>
      <c r="M90" s="45">
        <v>227.892</v>
      </c>
      <c r="N90" s="45">
        <v>363.605</v>
      </c>
      <c r="O90" s="45">
        <v>630.696</v>
      </c>
      <c r="P90" s="45">
        <v>274.48</v>
      </c>
      <c r="Q90" s="45">
        <v>398.589</v>
      </c>
    </row>
    <row r="91" spans="1:17" ht="15">
      <c r="A91" s="99" t="s">
        <v>53</v>
      </c>
      <c r="B91" s="44">
        <v>136</v>
      </c>
      <c r="C91" s="45">
        <v>521.4</v>
      </c>
      <c r="D91" s="45">
        <v>546.24</v>
      </c>
      <c r="E91" s="45">
        <v>351.795</v>
      </c>
      <c r="F91" s="45"/>
      <c r="G91" s="45">
        <v>393.273</v>
      </c>
      <c r="H91" s="45">
        <v>177.707</v>
      </c>
      <c r="I91" s="45"/>
      <c r="J91" s="45">
        <v>247.682</v>
      </c>
      <c r="K91" s="45">
        <v>353.733</v>
      </c>
      <c r="L91" s="45">
        <v>270.206</v>
      </c>
      <c r="M91" s="45">
        <v>241.245</v>
      </c>
      <c r="N91" s="45">
        <v>363.605</v>
      </c>
      <c r="O91" s="45">
        <v>654.892</v>
      </c>
      <c r="P91" s="45">
        <v>274.48</v>
      </c>
      <c r="Q91" s="45">
        <v>398.589</v>
      </c>
    </row>
    <row r="92" spans="1:17" ht="15">
      <c r="A92" s="99" t="s">
        <v>54</v>
      </c>
      <c r="B92" s="44">
        <v>152</v>
      </c>
      <c r="C92" s="45">
        <v>544.697</v>
      </c>
      <c r="D92" s="45">
        <v>568.223</v>
      </c>
      <c r="E92" s="45">
        <v>354.295</v>
      </c>
      <c r="F92" s="45"/>
      <c r="G92" s="45">
        <v>394.523</v>
      </c>
      <c r="H92" s="45">
        <v>189.679</v>
      </c>
      <c r="I92" s="45"/>
      <c r="J92" s="45">
        <v>258.601</v>
      </c>
      <c r="K92" s="45">
        <v>354.483</v>
      </c>
      <c r="L92" s="45">
        <v>270.706</v>
      </c>
      <c r="M92" s="45">
        <v>251.982</v>
      </c>
      <c r="N92" s="45">
        <v>366.105</v>
      </c>
      <c r="O92" s="45">
        <v>684.579</v>
      </c>
      <c r="P92" s="45">
        <v>274.98</v>
      </c>
      <c r="Q92" s="45">
        <v>432.817</v>
      </c>
    </row>
    <row r="93" spans="1:17" ht="15">
      <c r="A93" s="99" t="s">
        <v>55</v>
      </c>
      <c r="B93" s="44">
        <v>165</v>
      </c>
      <c r="C93" s="45">
        <v>524.546</v>
      </c>
      <c r="D93" s="45">
        <v>551.228</v>
      </c>
      <c r="E93" s="45">
        <v>354.295</v>
      </c>
      <c r="F93" s="45"/>
      <c r="G93" s="45">
        <v>411.117</v>
      </c>
      <c r="H93" s="45">
        <v>199.313</v>
      </c>
      <c r="I93" s="45"/>
      <c r="J93" s="45">
        <v>269.601</v>
      </c>
      <c r="K93" s="45">
        <v>354.483</v>
      </c>
      <c r="L93" s="45">
        <v>270.706</v>
      </c>
      <c r="M93" s="45">
        <v>251.982</v>
      </c>
      <c r="N93" s="45">
        <v>382.675</v>
      </c>
      <c r="O93" s="45">
        <v>716.726</v>
      </c>
      <c r="P93" s="45">
        <v>274.98</v>
      </c>
      <c r="Q93" s="45">
        <v>412.449</v>
      </c>
    </row>
    <row r="94" spans="1:17" ht="15">
      <c r="A94" s="99" t="s">
        <v>56</v>
      </c>
      <c r="B94" s="44">
        <v>158</v>
      </c>
      <c r="C94" s="45">
        <v>544.697</v>
      </c>
      <c r="D94" s="45">
        <v>568.223</v>
      </c>
      <c r="E94" s="45">
        <v>354.295</v>
      </c>
      <c r="F94" s="45"/>
      <c r="G94" s="45">
        <v>411.117</v>
      </c>
      <c r="H94" s="45">
        <v>189.679</v>
      </c>
      <c r="I94" s="45"/>
      <c r="J94" s="45">
        <v>258.601</v>
      </c>
      <c r="K94" s="45">
        <v>354.483</v>
      </c>
      <c r="L94" s="45">
        <v>270.706</v>
      </c>
      <c r="M94" s="45">
        <v>251.982</v>
      </c>
      <c r="N94" s="45">
        <v>382.675</v>
      </c>
      <c r="O94" s="45">
        <v>684.579</v>
      </c>
      <c r="P94" s="45">
        <v>274.98</v>
      </c>
      <c r="Q94" s="45">
        <v>432.817</v>
      </c>
    </row>
    <row r="95" spans="1:17" ht="15">
      <c r="A95" s="99" t="s">
        <v>57</v>
      </c>
      <c r="B95" s="44">
        <v>171</v>
      </c>
      <c r="C95" s="45">
        <v>492.11</v>
      </c>
      <c r="D95" s="45">
        <v>519.177</v>
      </c>
      <c r="E95" s="45">
        <v>354.295</v>
      </c>
      <c r="F95" s="45"/>
      <c r="G95" s="45">
        <v>411.117</v>
      </c>
      <c r="H95" s="45">
        <v>199.313</v>
      </c>
      <c r="I95" s="45"/>
      <c r="J95" s="45">
        <v>269.601</v>
      </c>
      <c r="K95" s="45">
        <v>369.581</v>
      </c>
      <c r="L95" s="45">
        <v>270.706</v>
      </c>
      <c r="M95" s="45">
        <v>251.982</v>
      </c>
      <c r="N95" s="45">
        <v>382.675</v>
      </c>
      <c r="O95" s="45">
        <v>617.037</v>
      </c>
      <c r="P95" s="45">
        <v>274.98</v>
      </c>
      <c r="Q95" s="45">
        <v>374.665</v>
      </c>
    </row>
    <row r="96" spans="1:17" ht="15">
      <c r="A96" s="99" t="s">
        <v>58</v>
      </c>
      <c r="B96" s="44">
        <v>176</v>
      </c>
      <c r="C96" s="45">
        <v>472.568</v>
      </c>
      <c r="D96" s="45">
        <v>499.96</v>
      </c>
      <c r="E96" s="45">
        <v>354.295</v>
      </c>
      <c r="F96" s="45"/>
      <c r="G96" s="45">
        <v>392.768</v>
      </c>
      <c r="H96" s="45">
        <v>189.105</v>
      </c>
      <c r="I96" s="45"/>
      <c r="J96" s="45">
        <v>269.601</v>
      </c>
      <c r="K96" s="45">
        <v>369.581</v>
      </c>
      <c r="L96" s="45">
        <v>270.706</v>
      </c>
      <c r="M96" s="45">
        <v>251.982</v>
      </c>
      <c r="N96" s="45">
        <v>364.584</v>
      </c>
      <c r="O96" s="45">
        <v>595.663</v>
      </c>
      <c r="P96" s="45">
        <v>274.98</v>
      </c>
      <c r="Q96" s="45">
        <v>356.603</v>
      </c>
    </row>
    <row r="97" spans="1:17" ht="15">
      <c r="A97" s="99" t="s">
        <v>59</v>
      </c>
      <c r="B97" s="44">
        <v>181</v>
      </c>
      <c r="C97" s="45">
        <v>472.568</v>
      </c>
      <c r="D97" s="45">
        <v>499.96</v>
      </c>
      <c r="E97" s="45">
        <v>335.45</v>
      </c>
      <c r="F97" s="45"/>
      <c r="G97" s="45">
        <v>392.768</v>
      </c>
      <c r="H97" s="45">
        <v>189.105</v>
      </c>
      <c r="I97" s="45"/>
      <c r="J97" s="45">
        <v>257.412</v>
      </c>
      <c r="K97" s="45">
        <v>369.581</v>
      </c>
      <c r="L97" s="45">
        <v>270.706</v>
      </c>
      <c r="M97" s="45">
        <v>241.463</v>
      </c>
      <c r="N97" s="45">
        <v>364.584</v>
      </c>
      <c r="O97" s="45">
        <v>595.663</v>
      </c>
      <c r="P97" s="45">
        <v>274.98</v>
      </c>
      <c r="Q97" s="45">
        <v>356.603</v>
      </c>
    </row>
    <row r="98" spans="1:17" ht="15">
      <c r="A98" s="99" t="s">
        <v>60</v>
      </c>
      <c r="B98" s="44">
        <v>183</v>
      </c>
      <c r="C98" s="45">
        <v>456.568</v>
      </c>
      <c r="D98" s="45">
        <v>484.854</v>
      </c>
      <c r="E98" s="45">
        <f>E97</f>
        <v>335.45</v>
      </c>
      <c r="F98" s="45"/>
      <c r="G98" s="45">
        <v>374.895</v>
      </c>
      <c r="H98" s="45">
        <v>180.423</v>
      </c>
      <c r="I98" s="45"/>
      <c r="J98" s="45">
        <v>257.412</v>
      </c>
      <c r="K98" s="45">
        <v>369.581</v>
      </c>
      <c r="L98" s="45">
        <v>270.706</v>
      </c>
      <c r="M98" s="45">
        <v>241.463</v>
      </c>
      <c r="N98" s="45">
        <v>347.695</v>
      </c>
      <c r="O98" s="45">
        <v>595.663</v>
      </c>
      <c r="P98" s="45">
        <v>274.98</v>
      </c>
      <c r="Q98" s="45">
        <v>340.552</v>
      </c>
    </row>
    <row r="99" spans="1:17" ht="15">
      <c r="A99" s="99" t="s">
        <v>61</v>
      </c>
      <c r="B99" s="44">
        <v>189</v>
      </c>
      <c r="C99" s="45">
        <v>440.185</v>
      </c>
      <c r="D99" s="45">
        <v>470.176</v>
      </c>
      <c r="E99" s="45">
        <v>313.715</v>
      </c>
      <c r="F99" s="45"/>
      <c r="G99" s="45">
        <v>349.345</v>
      </c>
      <c r="H99" s="45">
        <v>164.917</v>
      </c>
      <c r="I99" s="45"/>
      <c r="J99" s="45">
        <v>233.506</v>
      </c>
      <c r="K99" s="45">
        <v>369.581</v>
      </c>
      <c r="L99" s="45">
        <v>270.706</v>
      </c>
      <c r="M99" s="45">
        <v>229.657</v>
      </c>
      <c r="N99" s="45">
        <v>323.923</v>
      </c>
      <c r="O99" s="45">
        <v>575.19</v>
      </c>
      <c r="P99" s="45">
        <v>274.98</v>
      </c>
      <c r="Q99" s="45">
        <v>323.117</v>
      </c>
    </row>
    <row r="100" spans="1:17" ht="15">
      <c r="A100" s="99" t="s">
        <v>62</v>
      </c>
      <c r="B100" s="44">
        <v>193</v>
      </c>
      <c r="C100" s="45">
        <v>440.185</v>
      </c>
      <c r="D100" s="45">
        <v>470.176</v>
      </c>
      <c r="E100" s="45">
        <v>313.715</v>
      </c>
      <c r="F100" s="45"/>
      <c r="G100" s="45">
        <v>349.345</v>
      </c>
      <c r="H100" s="45">
        <v>164.917</v>
      </c>
      <c r="I100" s="45"/>
      <c r="J100" s="45">
        <v>233.506</v>
      </c>
      <c r="K100" s="45">
        <v>355.092</v>
      </c>
      <c r="L100" s="45">
        <v>270.706</v>
      </c>
      <c r="M100" s="45">
        <v>229.657</v>
      </c>
      <c r="N100" s="45">
        <v>323.923</v>
      </c>
      <c r="O100" s="45">
        <v>575.19</v>
      </c>
      <c r="P100" s="45">
        <v>274.98</v>
      </c>
      <c r="Q100" s="45">
        <v>323.117</v>
      </c>
    </row>
    <row r="101" spans="1:17" ht="15">
      <c r="A101" s="99" t="s">
        <v>63</v>
      </c>
      <c r="B101" s="44">
        <v>205</v>
      </c>
      <c r="C101" s="45">
        <v>440.185</v>
      </c>
      <c r="D101" s="45">
        <v>470.185</v>
      </c>
      <c r="E101" s="45">
        <v>313.715</v>
      </c>
      <c r="F101" s="45"/>
      <c r="G101" s="45">
        <v>349.345</v>
      </c>
      <c r="H101" s="45">
        <v>164.917</v>
      </c>
      <c r="I101" s="45"/>
      <c r="J101" s="45">
        <v>233.506</v>
      </c>
      <c r="K101" s="45">
        <v>355.092</v>
      </c>
      <c r="L101" s="45">
        <v>252.467</v>
      </c>
      <c r="M101" s="45">
        <v>220.334</v>
      </c>
      <c r="N101" s="45">
        <v>323.923</v>
      </c>
      <c r="O101" s="45">
        <v>575.19</v>
      </c>
      <c r="P101" s="45">
        <v>274.98</v>
      </c>
      <c r="Q101" s="45">
        <v>323.117</v>
      </c>
    </row>
    <row r="102" spans="1:17" ht="15">
      <c r="A102" s="99" t="s">
        <v>64</v>
      </c>
      <c r="B102" s="44">
        <v>212</v>
      </c>
      <c r="C102" s="45">
        <v>442.435</v>
      </c>
      <c r="D102" s="45">
        <v>472.676</v>
      </c>
      <c r="E102" s="45">
        <v>314.965</v>
      </c>
      <c r="F102" s="45"/>
      <c r="G102" s="45">
        <v>350.095</v>
      </c>
      <c r="H102" s="45">
        <v>165.167</v>
      </c>
      <c r="I102" s="45"/>
      <c r="J102" s="45">
        <v>234.006</v>
      </c>
      <c r="K102" s="45">
        <v>335.975</v>
      </c>
      <c r="L102" s="45">
        <v>252.717</v>
      </c>
      <c r="M102" s="45">
        <v>220.834</v>
      </c>
      <c r="N102" s="45">
        <v>325.423</v>
      </c>
      <c r="O102" s="45">
        <v>557.48</v>
      </c>
      <c r="P102" s="45">
        <v>275.23</v>
      </c>
      <c r="Q102" s="45">
        <v>323.367</v>
      </c>
    </row>
    <row r="103" spans="1:17" ht="15">
      <c r="A103" s="99" t="s">
        <v>65</v>
      </c>
      <c r="B103" s="44">
        <v>217</v>
      </c>
      <c r="C103" s="45">
        <v>442.435</v>
      </c>
      <c r="D103" s="45">
        <v>472.435</v>
      </c>
      <c r="E103" s="45">
        <v>314.965</v>
      </c>
      <c r="F103" s="45"/>
      <c r="G103" s="45">
        <v>350.095</v>
      </c>
      <c r="H103" s="45">
        <v>165.167</v>
      </c>
      <c r="I103" s="45"/>
      <c r="J103" s="45">
        <v>234.006</v>
      </c>
      <c r="K103" s="45">
        <v>335.975</v>
      </c>
      <c r="L103" s="45">
        <v>228.253</v>
      </c>
      <c r="M103" s="45">
        <v>220.834</v>
      </c>
      <c r="N103" s="45">
        <v>325.423</v>
      </c>
      <c r="O103" s="45">
        <v>557.48</v>
      </c>
      <c r="P103" s="45">
        <v>275.23</v>
      </c>
      <c r="Q103" s="45">
        <v>323.367</v>
      </c>
    </row>
    <row r="104" spans="1:17" ht="15">
      <c r="A104" s="99" t="s">
        <v>66</v>
      </c>
      <c r="B104" s="44">
        <v>220</v>
      </c>
      <c r="C104" s="45">
        <v>442.435</v>
      </c>
      <c r="D104" s="45">
        <v>472.676</v>
      </c>
      <c r="E104" s="45">
        <v>314.965</v>
      </c>
      <c r="F104" s="45"/>
      <c r="G104" s="45">
        <v>350.095</v>
      </c>
      <c r="H104" s="45">
        <v>165.167</v>
      </c>
      <c r="I104" s="45"/>
      <c r="J104" s="45">
        <v>234.006</v>
      </c>
      <c r="K104" s="45">
        <v>305.65</v>
      </c>
      <c r="L104" s="45">
        <v>228.253</v>
      </c>
      <c r="M104" s="45">
        <v>220.834</v>
      </c>
      <c r="N104" s="45">
        <v>325.423</v>
      </c>
      <c r="O104" s="45">
        <v>557.48</v>
      </c>
      <c r="P104" s="45">
        <v>275.23</v>
      </c>
      <c r="Q104" s="45">
        <v>323.367</v>
      </c>
    </row>
    <row r="105" spans="1:17" ht="15">
      <c r="A105" s="99" t="s">
        <v>130</v>
      </c>
      <c r="B105" s="44">
        <v>229</v>
      </c>
      <c r="C105" s="45">
        <v>442.435</v>
      </c>
      <c r="D105" s="45">
        <v>472.676</v>
      </c>
      <c r="E105" s="45">
        <v>314.965</v>
      </c>
      <c r="F105" s="45"/>
      <c r="G105" s="45">
        <v>350.095</v>
      </c>
      <c r="H105" s="45">
        <v>165.167</v>
      </c>
      <c r="I105" s="45"/>
      <c r="J105" s="45">
        <v>224.873</v>
      </c>
      <c r="K105" s="45">
        <v>305.65</v>
      </c>
      <c r="L105" s="45">
        <v>228.253</v>
      </c>
      <c r="M105" s="45">
        <v>220.834</v>
      </c>
      <c r="N105" s="45">
        <v>325.423</v>
      </c>
      <c r="O105" s="45">
        <v>557.48</v>
      </c>
      <c r="P105" s="45">
        <v>275.23</v>
      </c>
      <c r="Q105" s="45">
        <v>323.367</v>
      </c>
    </row>
    <row r="106" spans="1:17" ht="15">
      <c r="A106" s="99" t="s">
        <v>132</v>
      </c>
      <c r="B106" s="44">
        <v>232</v>
      </c>
      <c r="C106" s="45">
        <v>442.435</v>
      </c>
      <c r="D106" s="45">
        <v>472.676</v>
      </c>
      <c r="E106" s="45">
        <v>314.965</v>
      </c>
      <c r="F106" s="45"/>
      <c r="G106" s="45">
        <v>350.095</v>
      </c>
      <c r="H106" s="45">
        <v>165.167</v>
      </c>
      <c r="I106" s="45"/>
      <c r="J106" s="45">
        <v>224.873</v>
      </c>
      <c r="K106" s="45">
        <v>305.65</v>
      </c>
      <c r="L106" s="45">
        <v>228.253</v>
      </c>
      <c r="M106" s="45">
        <v>220.834</v>
      </c>
      <c r="N106" s="45">
        <v>325.423</v>
      </c>
      <c r="O106" s="45">
        <v>557.48</v>
      </c>
      <c r="P106" s="45">
        <v>275.23</v>
      </c>
      <c r="Q106" s="45">
        <v>323.367</v>
      </c>
    </row>
    <row r="107" spans="1:17" ht="15">
      <c r="A107" s="99" t="s">
        <v>133</v>
      </c>
      <c r="B107" s="44">
        <v>239</v>
      </c>
      <c r="C107" s="45">
        <v>442.435</v>
      </c>
      <c r="D107" s="45">
        <v>472.676</v>
      </c>
      <c r="E107" s="45">
        <v>314.965</v>
      </c>
      <c r="F107" s="45"/>
      <c r="G107" s="45">
        <v>350.095</v>
      </c>
      <c r="H107" s="45">
        <v>165.167</v>
      </c>
      <c r="I107" s="45"/>
      <c r="J107" s="45">
        <v>224.873</v>
      </c>
      <c r="K107" s="45">
        <v>305.65</v>
      </c>
      <c r="L107" s="45">
        <v>217.26</v>
      </c>
      <c r="M107" s="45">
        <v>220.834</v>
      </c>
      <c r="N107" s="45">
        <v>325.423</v>
      </c>
      <c r="O107" s="45">
        <v>580.507</v>
      </c>
      <c r="P107" s="45">
        <v>275.23</v>
      </c>
      <c r="Q107" s="45">
        <v>323.367</v>
      </c>
    </row>
    <row r="108" spans="1:17" ht="15">
      <c r="A108" s="99" t="s">
        <v>135</v>
      </c>
      <c r="B108" s="44">
        <v>243</v>
      </c>
      <c r="C108" s="45">
        <v>454.349</v>
      </c>
      <c r="D108" s="45">
        <v>484.2</v>
      </c>
      <c r="E108" s="45">
        <v>314.965</v>
      </c>
      <c r="F108" s="45"/>
      <c r="G108" s="45">
        <v>363.179</v>
      </c>
      <c r="H108" s="45">
        <v>165.167</v>
      </c>
      <c r="I108" s="45"/>
      <c r="J108" s="45">
        <v>224.873</v>
      </c>
      <c r="K108" s="45">
        <v>297.242</v>
      </c>
      <c r="L108" s="45">
        <v>217.26</v>
      </c>
      <c r="M108" s="45">
        <v>220.834</v>
      </c>
      <c r="N108" s="45">
        <v>337.228</v>
      </c>
      <c r="O108" s="45">
        <v>580.507</v>
      </c>
      <c r="P108" s="45">
        <v>275.23</v>
      </c>
      <c r="Q108" s="45">
        <v>334.263</v>
      </c>
    </row>
    <row r="109" spans="1:17" ht="15">
      <c r="A109" s="99" t="s">
        <v>136</v>
      </c>
      <c r="B109" s="44">
        <v>6</v>
      </c>
      <c r="C109" s="45">
        <v>428.2</v>
      </c>
      <c r="D109" s="45">
        <v>456.051</v>
      </c>
      <c r="E109" s="45">
        <v>331.965</v>
      </c>
      <c r="F109" s="45"/>
      <c r="G109" s="45">
        <v>355.179</v>
      </c>
      <c r="H109" s="45">
        <v>167.082</v>
      </c>
      <c r="I109" s="45"/>
      <c r="J109" s="45">
        <v>226.873</v>
      </c>
      <c r="K109" s="45">
        <v>169.105</v>
      </c>
      <c r="L109" s="45">
        <v>134.091</v>
      </c>
      <c r="M109" s="45">
        <v>198.087</v>
      </c>
      <c r="N109" s="45">
        <v>385.228</v>
      </c>
      <c r="O109" s="45">
        <v>492.271</v>
      </c>
      <c r="P109" s="45">
        <v>275.23</v>
      </c>
      <c r="Q109" s="45">
        <v>268.184</v>
      </c>
    </row>
    <row r="110" spans="1:17" ht="15">
      <c r="A110" s="73" t="s">
        <v>138</v>
      </c>
      <c r="B110" s="3">
        <v>12</v>
      </c>
      <c r="C110" s="45">
        <v>415.099</v>
      </c>
      <c r="D110" s="45">
        <v>443.712</v>
      </c>
      <c r="E110" s="45">
        <v>317.565</v>
      </c>
      <c r="F110" s="45"/>
      <c r="G110" s="45">
        <v>338.439</v>
      </c>
      <c r="H110" s="45">
        <v>158.66</v>
      </c>
      <c r="I110" s="45"/>
      <c r="J110" s="45">
        <v>226.873</v>
      </c>
      <c r="K110" s="45">
        <v>169.105</v>
      </c>
      <c r="L110" s="45">
        <v>134.091</v>
      </c>
      <c r="M110" s="45">
        <v>198.087</v>
      </c>
      <c r="N110" s="45">
        <v>366.277</v>
      </c>
      <c r="O110" s="45">
        <v>492.271</v>
      </c>
      <c r="P110" s="45">
        <v>275.23</v>
      </c>
      <c r="Q110" s="45">
        <v>258.997</v>
      </c>
    </row>
    <row r="111" spans="1:17" ht="15">
      <c r="A111" s="73" t="s">
        <v>139</v>
      </c>
      <c r="B111" s="3">
        <v>16</v>
      </c>
      <c r="C111" s="45">
        <v>415.099</v>
      </c>
      <c r="D111" s="45">
        <v>443.712</v>
      </c>
      <c r="E111" s="45">
        <v>317.565</v>
      </c>
      <c r="F111" s="45"/>
      <c r="G111" s="45">
        <v>338.439</v>
      </c>
      <c r="H111" s="45">
        <v>158.66</v>
      </c>
      <c r="I111" s="45"/>
      <c r="J111" s="45">
        <v>216.396</v>
      </c>
      <c r="K111" s="45">
        <v>164.693</v>
      </c>
      <c r="L111" s="45">
        <v>129.818</v>
      </c>
      <c r="M111" s="45">
        <v>191.081</v>
      </c>
      <c r="N111" s="45">
        <v>366.277</v>
      </c>
      <c r="O111" s="45">
        <v>468.571</v>
      </c>
      <c r="P111" s="45">
        <v>275.23</v>
      </c>
      <c r="Q111" s="45">
        <v>258.997</v>
      </c>
    </row>
    <row r="112" spans="1:17" ht="15">
      <c r="A112" s="72" t="s">
        <v>140</v>
      </c>
      <c r="B112" s="3">
        <v>18</v>
      </c>
      <c r="C112" s="45">
        <v>393.553</v>
      </c>
      <c r="D112" s="45">
        <v>420.787</v>
      </c>
      <c r="E112" s="45">
        <v>303.181</v>
      </c>
      <c r="F112" s="45"/>
      <c r="G112" s="45">
        <v>323.961</v>
      </c>
      <c r="H112" s="45">
        <v>152.904</v>
      </c>
      <c r="I112" s="45"/>
      <c r="J112" s="45">
        <v>216.396</v>
      </c>
      <c r="K112" s="45">
        <v>164.693</v>
      </c>
      <c r="L112" s="45">
        <v>129.818</v>
      </c>
      <c r="M112" s="45">
        <v>191.081</v>
      </c>
      <c r="N112" s="45">
        <v>354.718</v>
      </c>
      <c r="O112" s="45">
        <v>468.571</v>
      </c>
      <c r="P112" s="45">
        <v>275.23</v>
      </c>
      <c r="Q112" s="45">
        <v>247.65</v>
      </c>
    </row>
    <row r="113" spans="1:17" ht="15">
      <c r="A113" s="72" t="s">
        <v>142</v>
      </c>
      <c r="B113" s="3">
        <v>25</v>
      </c>
      <c r="C113" s="45">
        <f>C112</f>
        <v>393.553</v>
      </c>
      <c r="D113" s="45">
        <f>D112</f>
        <v>420.787</v>
      </c>
      <c r="E113" s="45">
        <f>E112</f>
        <v>303.181</v>
      </c>
      <c r="F113" s="45"/>
      <c r="G113" s="45">
        <f>G112</f>
        <v>323.961</v>
      </c>
      <c r="H113" s="45">
        <f>H112</f>
        <v>152.904</v>
      </c>
      <c r="I113" s="45"/>
      <c r="J113" s="45">
        <v>204.66</v>
      </c>
      <c r="K113" s="45">
        <f>K112</f>
        <v>164.693</v>
      </c>
      <c r="L113" s="45">
        <f>L112</f>
        <v>129.818</v>
      </c>
      <c r="M113" s="45">
        <f>M112</f>
        <v>191.081</v>
      </c>
      <c r="N113" s="45">
        <f>N112</f>
        <v>354.718</v>
      </c>
      <c r="O113" s="45">
        <v>448.024</v>
      </c>
      <c r="P113" s="45">
        <f>P112</f>
        <v>275.23</v>
      </c>
      <c r="Q113" s="45">
        <f>Q112</f>
        <v>247.65</v>
      </c>
    </row>
    <row r="114" spans="1:17" ht="16.5" customHeight="1">
      <c r="A114" s="72" t="s">
        <v>143</v>
      </c>
      <c r="B114" s="14">
        <v>37</v>
      </c>
      <c r="C114" s="45">
        <v>404.611</v>
      </c>
      <c r="D114" s="45">
        <v>431.073</v>
      </c>
      <c r="E114" s="45">
        <v>314.786</v>
      </c>
      <c r="F114" s="45"/>
      <c r="G114" s="45">
        <v>337.078</v>
      </c>
      <c r="H114" s="45">
        <v>159.216</v>
      </c>
      <c r="I114" s="45"/>
      <c r="J114" s="45">
        <v>214.546</v>
      </c>
      <c r="K114" s="45">
        <v>175.731</v>
      </c>
      <c r="L114" s="45">
        <v>135.453</v>
      </c>
      <c r="M114" s="45">
        <v>198.618</v>
      </c>
      <c r="N114" s="45">
        <v>365.17</v>
      </c>
      <c r="O114" s="45">
        <v>466.117</v>
      </c>
      <c r="P114" s="45">
        <f>P113</f>
        <v>275.23</v>
      </c>
      <c r="Q114" s="45">
        <v>255.223</v>
      </c>
    </row>
    <row r="115" spans="1:17" ht="15">
      <c r="A115" s="72" t="s">
        <v>148</v>
      </c>
      <c r="B115" s="14">
        <v>41</v>
      </c>
      <c r="C115" s="45">
        <v>407.861</v>
      </c>
      <c r="D115" s="45">
        <v>434.323</v>
      </c>
      <c r="E115" s="45">
        <v>316.786</v>
      </c>
      <c r="F115" s="45"/>
      <c r="G115" s="45">
        <v>338.078</v>
      </c>
      <c r="H115" s="45">
        <v>159.466</v>
      </c>
      <c r="I115" s="45"/>
      <c r="J115" s="45">
        <v>215.045</v>
      </c>
      <c r="K115" s="45">
        <v>176.481</v>
      </c>
      <c r="L115" s="45">
        <v>135.953</v>
      </c>
      <c r="M115" s="45">
        <v>199.368</v>
      </c>
      <c r="N115" s="45">
        <v>367.17</v>
      </c>
      <c r="O115" s="45">
        <v>469.367</v>
      </c>
      <c r="P115" s="45">
        <v>275.73</v>
      </c>
      <c r="Q115" s="45">
        <v>255.723</v>
      </c>
    </row>
    <row r="116" spans="1:17" ht="15">
      <c r="A116" s="72" t="s">
        <v>149</v>
      </c>
      <c r="B116" s="14">
        <v>48</v>
      </c>
      <c r="C116" s="45">
        <v>426.86</v>
      </c>
      <c r="D116" s="45">
        <v>450.839</v>
      </c>
      <c r="E116" s="45">
        <v>316.786</v>
      </c>
      <c r="F116" s="45"/>
      <c r="G116" s="45">
        <v>338.078</v>
      </c>
      <c r="H116" s="45">
        <v>159.466</v>
      </c>
      <c r="I116" s="45"/>
      <c r="J116" s="45">
        <v>215.045</v>
      </c>
      <c r="K116" s="45">
        <v>176.481</v>
      </c>
      <c r="L116" s="45">
        <v>135.953</v>
      </c>
      <c r="M116" s="45">
        <v>199.368</v>
      </c>
      <c r="N116" s="45">
        <v>367.17</v>
      </c>
      <c r="O116" s="45">
        <v>498.317</v>
      </c>
      <c r="P116" s="45">
        <v>275.73</v>
      </c>
      <c r="Q116" s="45">
        <v>274.547</v>
      </c>
    </row>
    <row r="117" spans="1:17" ht="15">
      <c r="A117" s="72" t="s">
        <v>26</v>
      </c>
      <c r="B117" s="14">
        <v>53</v>
      </c>
      <c r="C117" s="45">
        <v>426.86</v>
      </c>
      <c r="D117" s="45">
        <v>450.839</v>
      </c>
      <c r="E117" s="45">
        <v>330.173</v>
      </c>
      <c r="F117" s="45"/>
      <c r="G117" s="45">
        <v>353.561</v>
      </c>
      <c r="H117" s="45">
        <v>167.635</v>
      </c>
      <c r="I117" s="45"/>
      <c r="J117" s="45">
        <v>224.267</v>
      </c>
      <c r="K117" s="45">
        <v>176.481</v>
      </c>
      <c r="L117" s="45">
        <v>135.953</v>
      </c>
      <c r="M117" s="45">
        <v>199.368</v>
      </c>
      <c r="N117" s="45">
        <v>380.665</v>
      </c>
      <c r="O117" s="45">
        <v>498.317</v>
      </c>
      <c r="P117" s="45">
        <v>275.73</v>
      </c>
      <c r="Q117" s="45">
        <v>274.547</v>
      </c>
    </row>
    <row r="118" spans="1:17" ht="15">
      <c r="A118" s="72" t="s">
        <v>150</v>
      </c>
      <c r="B118" s="14">
        <v>58</v>
      </c>
      <c r="C118" s="45">
        <v>461.109</v>
      </c>
      <c r="D118" s="45">
        <v>485.474</v>
      </c>
      <c r="E118" s="45">
        <v>330.173</v>
      </c>
      <c r="F118" s="45"/>
      <c r="G118" s="45">
        <v>353.561</v>
      </c>
      <c r="H118" s="45">
        <v>167.635</v>
      </c>
      <c r="I118" s="45"/>
      <c r="J118" s="45">
        <v>224.267</v>
      </c>
      <c r="K118" s="45">
        <v>176.481</v>
      </c>
      <c r="L118" s="45">
        <v>135.953</v>
      </c>
      <c r="M118" s="45">
        <v>199.368</v>
      </c>
      <c r="N118" s="45">
        <v>380.665</v>
      </c>
      <c r="O118" s="45">
        <v>540.165</v>
      </c>
      <c r="P118" s="45">
        <v>275.73</v>
      </c>
      <c r="Q118" s="45">
        <v>312.729</v>
      </c>
    </row>
    <row r="119" spans="1:17" ht="15">
      <c r="A119" s="72" t="s">
        <v>151</v>
      </c>
      <c r="B119" s="14">
        <v>64</v>
      </c>
      <c r="C119" s="45">
        <v>461.109</v>
      </c>
      <c r="D119" s="45">
        <v>485.474</v>
      </c>
      <c r="E119" s="45">
        <v>330.173</v>
      </c>
      <c r="F119" s="45"/>
      <c r="G119" s="45">
        <v>353.561</v>
      </c>
      <c r="H119" s="45">
        <v>167.635</v>
      </c>
      <c r="I119" s="45"/>
      <c r="J119" s="45">
        <v>224.267</v>
      </c>
      <c r="K119" s="45">
        <v>184.349</v>
      </c>
      <c r="L119" s="45">
        <v>143.046</v>
      </c>
      <c r="M119" s="45">
        <v>207.542</v>
      </c>
      <c r="N119" s="45">
        <v>380.665</v>
      </c>
      <c r="O119" s="45">
        <v>540.165</v>
      </c>
      <c r="P119" s="45">
        <v>275.73</v>
      </c>
      <c r="Q119" s="45">
        <v>312.729</v>
      </c>
    </row>
    <row r="120" spans="1:17" ht="15">
      <c r="A120" s="72" t="s">
        <v>275</v>
      </c>
      <c r="B120" s="14">
        <v>70</v>
      </c>
      <c r="C120" s="45">
        <v>461.109</v>
      </c>
      <c r="D120" s="45">
        <v>501.293</v>
      </c>
      <c r="E120" s="45">
        <v>330.173</v>
      </c>
      <c r="F120" s="45"/>
      <c r="G120" s="45">
        <v>353.561</v>
      </c>
      <c r="H120" s="45">
        <v>167.635</v>
      </c>
      <c r="I120" s="45"/>
      <c r="J120" s="45">
        <v>224.267</v>
      </c>
      <c r="K120" s="45">
        <v>184.349</v>
      </c>
      <c r="L120" s="45">
        <v>143.046</v>
      </c>
      <c r="M120" s="45">
        <v>207.542</v>
      </c>
      <c r="N120" s="45">
        <v>380.665</v>
      </c>
      <c r="O120" s="45">
        <v>568.515</v>
      </c>
      <c r="P120" s="45">
        <v>275.73</v>
      </c>
      <c r="Q120" s="45">
        <v>312.729</v>
      </c>
    </row>
    <row r="121" spans="1:17" ht="15">
      <c r="A121" s="72" t="s">
        <v>147</v>
      </c>
      <c r="B121" s="14">
        <v>72</v>
      </c>
      <c r="C121" s="45">
        <v>476.917</v>
      </c>
      <c r="D121" s="45">
        <v>501.293</v>
      </c>
      <c r="E121" s="45">
        <v>330.173</v>
      </c>
      <c r="F121" s="45"/>
      <c r="G121" s="45">
        <v>353.561</v>
      </c>
      <c r="H121" s="45">
        <v>167.635</v>
      </c>
      <c r="I121" s="45"/>
      <c r="J121" s="45">
        <v>224.267</v>
      </c>
      <c r="K121" s="45">
        <v>184.349</v>
      </c>
      <c r="L121" s="45">
        <v>143.046</v>
      </c>
      <c r="M121" s="45">
        <v>207.542</v>
      </c>
      <c r="N121" s="45">
        <v>380.665</v>
      </c>
      <c r="O121" s="45">
        <v>568.515</v>
      </c>
      <c r="P121" s="45">
        <v>275.73</v>
      </c>
      <c r="Q121" s="45">
        <v>312.729</v>
      </c>
    </row>
    <row r="122" spans="1:17" ht="15">
      <c r="A122" s="72" t="s">
        <v>152</v>
      </c>
      <c r="B122" s="14">
        <v>79</v>
      </c>
      <c r="C122" s="45">
        <v>476.917</v>
      </c>
      <c r="D122" s="45">
        <v>535.879</v>
      </c>
      <c r="E122" s="45">
        <v>343.229</v>
      </c>
      <c r="F122" s="45"/>
      <c r="G122" s="45">
        <v>371.345</v>
      </c>
      <c r="H122" s="45">
        <v>177.132</v>
      </c>
      <c r="I122" s="45"/>
      <c r="J122" s="45">
        <v>234.698</v>
      </c>
      <c r="K122" s="45">
        <v>184.349</v>
      </c>
      <c r="L122" s="45">
        <v>143.046</v>
      </c>
      <c r="M122" s="45">
        <v>219.179</v>
      </c>
      <c r="N122" s="45">
        <v>396.51</v>
      </c>
      <c r="O122" s="45">
        <v>628.839</v>
      </c>
      <c r="P122" s="45">
        <v>275.73</v>
      </c>
      <c r="Q122" s="45">
        <v>329.071</v>
      </c>
    </row>
    <row r="123" spans="1:17" ht="15">
      <c r="A123" s="72" t="s">
        <v>153</v>
      </c>
      <c r="B123" s="14">
        <v>81</v>
      </c>
      <c r="C123" s="45">
        <v>517.036</v>
      </c>
      <c r="D123" s="45">
        <v>535.879</v>
      </c>
      <c r="E123" s="45">
        <v>343.229</v>
      </c>
      <c r="F123" s="45"/>
      <c r="G123" s="45">
        <v>371.345</v>
      </c>
      <c r="H123" s="45">
        <v>177.132</v>
      </c>
      <c r="I123" s="45"/>
      <c r="J123" s="45">
        <v>234.698</v>
      </c>
      <c r="K123" s="45">
        <v>184.349</v>
      </c>
      <c r="L123" s="45">
        <v>143.046</v>
      </c>
      <c r="M123" s="45">
        <v>219.179</v>
      </c>
      <c r="N123" s="45">
        <v>396.51</v>
      </c>
      <c r="O123" s="45">
        <v>628.839</v>
      </c>
      <c r="P123" s="45">
        <v>275.73</v>
      </c>
      <c r="Q123" s="45">
        <v>329.071</v>
      </c>
    </row>
    <row r="124" spans="1:17" ht="15">
      <c r="A124" s="72" t="s">
        <v>154</v>
      </c>
      <c r="B124" s="14">
        <v>94</v>
      </c>
      <c r="C124" s="45">
        <v>517.036</v>
      </c>
      <c r="D124" s="45">
        <v>552.651</v>
      </c>
      <c r="E124" s="45">
        <v>358.482</v>
      </c>
      <c r="F124" s="45"/>
      <c r="G124" s="45">
        <v>393.178</v>
      </c>
      <c r="H124" s="45">
        <v>192.525</v>
      </c>
      <c r="I124" s="45"/>
      <c r="J124" s="45">
        <v>244.751</v>
      </c>
      <c r="K124" s="45">
        <v>192.953</v>
      </c>
      <c r="L124" s="45">
        <v>151.238</v>
      </c>
      <c r="M124" s="45">
        <v>229.044</v>
      </c>
      <c r="N124" s="45">
        <v>416.752</v>
      </c>
      <c r="O124" s="45">
        <v>628.839</v>
      </c>
      <c r="P124" s="45">
        <v>275.73</v>
      </c>
      <c r="Q124" s="45">
        <v>371.63</v>
      </c>
    </row>
    <row r="125" spans="1:17" ht="15">
      <c r="A125" s="73" t="s">
        <v>156</v>
      </c>
      <c r="B125" s="14">
        <v>108</v>
      </c>
      <c r="C125" s="45">
        <v>520.036</v>
      </c>
      <c r="D125" s="45">
        <v>555.901</v>
      </c>
      <c r="E125" s="45">
        <v>360.232</v>
      </c>
      <c r="F125" s="45"/>
      <c r="G125" s="45">
        <v>393.928</v>
      </c>
      <c r="H125" s="45">
        <v>192.775</v>
      </c>
      <c r="I125" s="45"/>
      <c r="J125" s="45">
        <v>245.251</v>
      </c>
      <c r="K125" s="45">
        <v>193.453</v>
      </c>
      <c r="L125" s="45">
        <v>151.738</v>
      </c>
      <c r="M125" s="45">
        <v>229.544</v>
      </c>
      <c r="N125" s="45">
        <v>418.502</v>
      </c>
      <c r="O125" s="45">
        <v>631.839</v>
      </c>
      <c r="P125" s="45">
        <v>276.23</v>
      </c>
      <c r="Q125" s="45">
        <v>372.13</v>
      </c>
    </row>
    <row r="126" spans="1:17" ht="15">
      <c r="A126" s="73" t="s">
        <v>159</v>
      </c>
      <c r="B126" s="14">
        <v>151</v>
      </c>
      <c r="C126" s="45">
        <v>552.04</v>
      </c>
      <c r="D126" s="45">
        <v>587.9</v>
      </c>
      <c r="E126" s="45">
        <v>392.58</v>
      </c>
      <c r="F126" s="45"/>
      <c r="G126" s="45">
        <v>403.85</v>
      </c>
      <c r="H126" s="45">
        <v>211.19</v>
      </c>
      <c r="I126" s="45"/>
      <c r="J126" s="45">
        <v>259.4</v>
      </c>
      <c r="K126" s="45">
        <v>211.58</v>
      </c>
      <c r="L126" s="45">
        <v>198</v>
      </c>
      <c r="M126" s="45">
        <v>249.74</v>
      </c>
      <c r="N126" s="45">
        <v>440.06</v>
      </c>
      <c r="O126" s="45">
        <v>685.02</v>
      </c>
      <c r="P126" s="45">
        <v>276.23</v>
      </c>
      <c r="Q126" s="45">
        <v>342.81</v>
      </c>
    </row>
    <row r="127" spans="1:17" ht="15">
      <c r="A127" s="73" t="s">
        <v>317</v>
      </c>
      <c r="B127" s="14">
        <v>158</v>
      </c>
      <c r="C127" s="45">
        <v>555.79</v>
      </c>
      <c r="D127" s="45">
        <v>591.9</v>
      </c>
      <c r="E127" s="45">
        <v>394.83</v>
      </c>
      <c r="F127" s="45"/>
      <c r="G127" s="45">
        <v>404.85</v>
      </c>
      <c r="H127" s="45">
        <v>211.69</v>
      </c>
      <c r="I127" s="45"/>
      <c r="J127" s="45">
        <v>260.15</v>
      </c>
      <c r="K127" s="45">
        <v>212.33</v>
      </c>
      <c r="L127" s="45">
        <v>198.5</v>
      </c>
      <c r="M127" s="45">
        <v>250.49</v>
      </c>
      <c r="N127" s="45">
        <v>442.31</v>
      </c>
      <c r="O127" s="45">
        <v>688.77</v>
      </c>
      <c r="P127" s="45">
        <v>276.73</v>
      </c>
      <c r="Q127" s="45">
        <v>343.31</v>
      </c>
    </row>
    <row r="128" spans="1:17" ht="15">
      <c r="A128" s="73" t="s">
        <v>318</v>
      </c>
      <c r="B128" s="14">
        <v>181</v>
      </c>
      <c r="C128" s="45">
        <v>555.79</v>
      </c>
      <c r="D128" s="45">
        <v>591.9</v>
      </c>
      <c r="E128" s="45">
        <v>394.83</v>
      </c>
      <c r="F128" s="45"/>
      <c r="G128" s="45">
        <v>404.85</v>
      </c>
      <c r="H128" s="45">
        <v>211.69</v>
      </c>
      <c r="I128" s="45"/>
      <c r="J128" s="45">
        <v>260.15</v>
      </c>
      <c r="K128" s="45">
        <v>212.33</v>
      </c>
      <c r="L128" s="45">
        <v>198.5</v>
      </c>
      <c r="M128" s="45">
        <v>250.49</v>
      </c>
      <c r="N128" s="45">
        <v>442.31</v>
      </c>
      <c r="O128" s="45">
        <v>688.77</v>
      </c>
      <c r="P128" s="45">
        <v>276.73</v>
      </c>
      <c r="Q128" s="45">
        <v>343.31</v>
      </c>
    </row>
    <row r="129" spans="1:17" ht="15">
      <c r="A129" s="73" t="s">
        <v>319</v>
      </c>
      <c r="B129" s="14">
        <v>197</v>
      </c>
      <c r="C129" s="45">
        <v>491.692</v>
      </c>
      <c r="D129" s="45">
        <v>507.699</v>
      </c>
      <c r="E129" s="45">
        <v>426.716</v>
      </c>
      <c r="F129" s="45"/>
      <c r="G129" s="45">
        <v>397.429</v>
      </c>
      <c r="H129" s="45">
        <v>248.587</v>
      </c>
      <c r="I129" s="45"/>
      <c r="J129" s="45">
        <v>317.65</v>
      </c>
      <c r="K129" s="45">
        <v>236.398</v>
      </c>
      <c r="L129" s="45">
        <v>183.298</v>
      </c>
      <c r="M129" s="45">
        <v>268.485</v>
      </c>
      <c r="N129" s="45">
        <v>445.179</v>
      </c>
      <c r="O129" s="45">
        <v>575.852</v>
      </c>
      <c r="P129" s="45">
        <v>339.521</v>
      </c>
      <c r="Q129" s="45">
        <v>341.219</v>
      </c>
    </row>
    <row r="130" spans="1:17" ht="15">
      <c r="A130" s="101" t="s">
        <v>163</v>
      </c>
      <c r="B130" s="14">
        <v>215</v>
      </c>
      <c r="C130" s="45">
        <v>499.957</v>
      </c>
      <c r="D130" s="45">
        <v>512.791</v>
      </c>
      <c r="E130" s="45">
        <v>450.399</v>
      </c>
      <c r="F130" s="45"/>
      <c r="G130" s="45">
        <v>418.992</v>
      </c>
      <c r="H130" s="45">
        <v>265.861</v>
      </c>
      <c r="I130" s="45"/>
      <c r="J130" s="45">
        <v>339.082</v>
      </c>
      <c r="K130" s="45">
        <v>230.483</v>
      </c>
      <c r="L130" s="45">
        <v>181.726</v>
      </c>
      <c r="M130" s="45">
        <v>285.896</v>
      </c>
      <c r="N130" s="45">
        <v>466.742</v>
      </c>
      <c r="O130" s="45">
        <v>576.505</v>
      </c>
      <c r="P130" s="45">
        <v>358.769</v>
      </c>
      <c r="Q130" s="45">
        <v>360.149</v>
      </c>
    </row>
    <row r="131" spans="1:17" ht="15">
      <c r="A131" s="101" t="s">
        <v>165</v>
      </c>
      <c r="B131" s="14">
        <v>221</v>
      </c>
      <c r="C131" s="45">
        <v>499.957</v>
      </c>
      <c r="D131" s="45">
        <v>512.791</v>
      </c>
      <c r="E131" s="45">
        <v>450.399</v>
      </c>
      <c r="F131" s="45"/>
      <c r="G131" s="45">
        <v>418.992</v>
      </c>
      <c r="H131" s="45">
        <v>265.861</v>
      </c>
      <c r="I131" s="45"/>
      <c r="J131" s="45">
        <v>339.082</v>
      </c>
      <c r="K131" s="45">
        <v>230.483</v>
      </c>
      <c r="L131" s="45">
        <v>181.726</v>
      </c>
      <c r="M131" s="45">
        <v>285.896</v>
      </c>
      <c r="N131" s="45">
        <v>466.742</v>
      </c>
      <c r="O131" s="45">
        <v>576.505</v>
      </c>
      <c r="P131" s="45">
        <v>358.769</v>
      </c>
      <c r="Q131" s="45">
        <v>360.149</v>
      </c>
    </row>
    <row r="132" spans="1:17" ht="15">
      <c r="A132" s="101" t="s">
        <v>167</v>
      </c>
      <c r="B132" s="14">
        <v>226</v>
      </c>
      <c r="C132" s="45">
        <v>503.457</v>
      </c>
      <c r="D132" s="45">
        <v>516.541</v>
      </c>
      <c r="E132" s="45">
        <v>452.399</v>
      </c>
      <c r="F132" s="45"/>
      <c r="G132" s="45">
        <v>419.992</v>
      </c>
      <c r="H132" s="45">
        <v>266.111</v>
      </c>
      <c r="I132" s="45"/>
      <c r="J132" s="45">
        <v>339.832</v>
      </c>
      <c r="K132" s="45">
        <v>231.233</v>
      </c>
      <c r="L132" s="45">
        <v>182.226</v>
      </c>
      <c r="M132" s="45">
        <v>286.646</v>
      </c>
      <c r="N132" s="45">
        <v>468.742</v>
      </c>
      <c r="O132" s="45">
        <v>580.005</v>
      </c>
      <c r="P132" s="45">
        <v>359.269</v>
      </c>
      <c r="Q132" s="45">
        <v>360.649</v>
      </c>
    </row>
    <row r="133" spans="1:17" ht="15">
      <c r="A133" s="101" t="s">
        <v>169</v>
      </c>
      <c r="B133" s="14">
        <v>237</v>
      </c>
      <c r="C133" s="45">
        <v>522.944</v>
      </c>
      <c r="D133" s="45">
        <v>538.533</v>
      </c>
      <c r="E133" s="45">
        <v>477.62</v>
      </c>
      <c r="F133" s="45"/>
      <c r="G133" s="45">
        <v>445.549</v>
      </c>
      <c r="H133" s="45">
        <v>296.737</v>
      </c>
      <c r="I133" s="45"/>
      <c r="J133" s="45">
        <v>368.772</v>
      </c>
      <c r="K133" s="45">
        <v>229.275</v>
      </c>
      <c r="L133" s="45">
        <v>183.511</v>
      </c>
      <c r="M133" s="45">
        <v>310.362</v>
      </c>
      <c r="N133" s="45">
        <v>494.299</v>
      </c>
      <c r="O133" s="45">
        <v>605.545</v>
      </c>
      <c r="P133" s="45">
        <v>382.724</v>
      </c>
      <c r="Q133" s="45">
        <v>384.104</v>
      </c>
    </row>
    <row r="134" spans="1:17" ht="15">
      <c r="A134" s="101" t="s">
        <v>172</v>
      </c>
      <c r="B134" s="14">
        <v>14</v>
      </c>
      <c r="C134" s="45">
        <v>515.145</v>
      </c>
      <c r="D134" s="7">
        <v>526.073</v>
      </c>
      <c r="E134" s="45">
        <v>484.965</v>
      </c>
      <c r="F134" s="45"/>
      <c r="G134" s="45">
        <v>449.899</v>
      </c>
      <c r="H134" s="45">
        <v>290.273</v>
      </c>
      <c r="I134" s="45"/>
      <c r="J134" s="45">
        <v>370.32</v>
      </c>
      <c r="K134" s="45">
        <v>245.281</v>
      </c>
      <c r="L134" s="45">
        <v>192.57</v>
      </c>
      <c r="M134" s="7">
        <v>305.402</v>
      </c>
      <c r="N134" s="7">
        <v>498.649</v>
      </c>
      <c r="O134" s="7">
        <v>584.281</v>
      </c>
      <c r="P134" s="7">
        <v>372.819</v>
      </c>
      <c r="Q134" s="7">
        <v>374.04</v>
      </c>
    </row>
    <row r="135" spans="1:17" ht="15">
      <c r="A135" s="101" t="s">
        <v>174</v>
      </c>
      <c r="B135" s="14">
        <v>31</v>
      </c>
      <c r="C135" s="45">
        <v>524.746</v>
      </c>
      <c r="D135" s="7">
        <v>537.038</v>
      </c>
      <c r="E135" s="45">
        <v>488.441</v>
      </c>
      <c r="F135" s="45">
        <v>487.456</v>
      </c>
      <c r="G135" s="45">
        <v>451.171</v>
      </c>
      <c r="H135" s="45">
        <v>292.425</v>
      </c>
      <c r="I135" s="45"/>
      <c r="J135" s="45">
        <v>373.239</v>
      </c>
      <c r="K135" s="45">
        <v>254.365</v>
      </c>
      <c r="L135" s="45">
        <v>197.307</v>
      </c>
      <c r="M135" s="7">
        <v>312.296</v>
      </c>
      <c r="N135" s="7">
        <v>499.921</v>
      </c>
      <c r="O135" s="7">
        <v>596.559</v>
      </c>
      <c r="P135" s="7">
        <v>379.652</v>
      </c>
      <c r="Q135" s="7">
        <v>381.147</v>
      </c>
    </row>
    <row r="136" spans="1:17" ht="15">
      <c r="A136" s="101" t="s">
        <v>175</v>
      </c>
      <c r="B136" s="14">
        <v>38</v>
      </c>
      <c r="C136" s="45">
        <v>529.496</v>
      </c>
      <c r="D136" s="7">
        <v>542.038</v>
      </c>
      <c r="E136" s="45">
        <v>491.191</v>
      </c>
      <c r="F136" s="45">
        <v>490.206</v>
      </c>
      <c r="G136" s="45">
        <v>452.421</v>
      </c>
      <c r="H136" s="45">
        <v>292.925</v>
      </c>
      <c r="I136" s="45"/>
      <c r="J136" s="45">
        <v>374.239</v>
      </c>
      <c r="K136" s="45">
        <v>255.365</v>
      </c>
      <c r="L136" s="45">
        <v>198.057</v>
      </c>
      <c r="M136" s="7">
        <v>313.296</v>
      </c>
      <c r="N136" s="7">
        <v>502.671</v>
      </c>
      <c r="O136" s="7">
        <v>601.309</v>
      </c>
      <c r="P136" s="7">
        <v>380.402</v>
      </c>
      <c r="Q136" s="7">
        <v>381.897</v>
      </c>
    </row>
    <row r="137" spans="1:17" ht="15">
      <c r="A137" s="75" t="s">
        <v>177</v>
      </c>
      <c r="B137" s="14">
        <v>46</v>
      </c>
      <c r="C137" s="45">
        <v>517.297</v>
      </c>
      <c r="D137" s="8">
        <v>529.294</v>
      </c>
      <c r="E137" s="45">
        <v>475.3</v>
      </c>
      <c r="F137" s="7">
        <v>474.318</v>
      </c>
      <c r="G137" s="45">
        <v>440.285</v>
      </c>
      <c r="H137" s="45">
        <v>284.47</v>
      </c>
      <c r="I137" s="45"/>
      <c r="J137" s="45">
        <v>361.52</v>
      </c>
      <c r="K137" s="45">
        <v>264.518</v>
      </c>
      <c r="L137" s="45">
        <v>202.71</v>
      </c>
      <c r="M137" s="8">
        <v>298.946</v>
      </c>
      <c r="N137" s="8">
        <v>490.535</v>
      </c>
      <c r="O137" s="8">
        <v>590.517</v>
      </c>
      <c r="P137" s="8">
        <v>375.211</v>
      </c>
      <c r="Q137" s="8">
        <v>375.74</v>
      </c>
    </row>
    <row r="138" spans="1:17" ht="15">
      <c r="A138" s="75" t="s">
        <v>179</v>
      </c>
      <c r="B138" s="14">
        <v>76</v>
      </c>
      <c r="C138" s="45">
        <v>552.012</v>
      </c>
      <c r="D138" s="8">
        <v>565.65</v>
      </c>
      <c r="E138" s="45">
        <v>520.172</v>
      </c>
      <c r="F138" s="7">
        <v>519.193</v>
      </c>
      <c r="G138" s="45">
        <v>490.136</v>
      </c>
      <c r="H138" s="45">
        <v>294.571</v>
      </c>
      <c r="I138" s="45"/>
      <c r="J138" s="45">
        <v>391.589</v>
      </c>
      <c r="K138" s="45">
        <v>268.504</v>
      </c>
      <c r="L138" s="45">
        <v>205.498</v>
      </c>
      <c r="M138" s="8">
        <v>297.159</v>
      </c>
      <c r="N138" s="8">
        <v>540.386</v>
      </c>
      <c r="O138" s="8">
        <v>628.396</v>
      </c>
      <c r="P138" s="8">
        <v>394.039</v>
      </c>
      <c r="Q138" s="8">
        <v>395.344</v>
      </c>
    </row>
    <row r="139" spans="1:17" ht="15">
      <c r="A139" s="75" t="s">
        <v>182</v>
      </c>
      <c r="B139" s="14">
        <v>94</v>
      </c>
      <c r="C139" s="45">
        <v>568.241</v>
      </c>
      <c r="D139" s="8">
        <v>585.412</v>
      </c>
      <c r="E139" s="45">
        <v>550.827</v>
      </c>
      <c r="F139" s="7">
        <v>549.844</v>
      </c>
      <c r="G139" s="45">
        <v>522.424</v>
      </c>
      <c r="H139" s="45">
        <v>298.523</v>
      </c>
      <c r="I139" s="45"/>
      <c r="J139" s="45">
        <v>410.216</v>
      </c>
      <c r="K139" s="45">
        <v>272.038</v>
      </c>
      <c r="L139" s="45">
        <v>207.968</v>
      </c>
      <c r="M139" s="8">
        <v>303.947</v>
      </c>
      <c r="N139" s="8">
        <v>573.924</v>
      </c>
      <c r="O139" s="8">
        <v>651.607</v>
      </c>
      <c r="P139" s="8">
        <v>415.572</v>
      </c>
      <c r="Q139" s="8">
        <v>416.602</v>
      </c>
    </row>
    <row r="140" spans="1:17" ht="15">
      <c r="A140" s="75" t="s">
        <v>184</v>
      </c>
      <c r="B140" s="14">
        <v>110</v>
      </c>
      <c r="C140" s="45">
        <v>607.929</v>
      </c>
      <c r="D140" s="8">
        <v>620.736</v>
      </c>
      <c r="E140" s="45">
        <v>586.57</v>
      </c>
      <c r="F140" s="7">
        <v>585.571</v>
      </c>
      <c r="G140" s="45">
        <v>562.897</v>
      </c>
      <c r="H140" s="45">
        <v>321.825</v>
      </c>
      <c r="I140" s="45"/>
      <c r="J140" s="45">
        <v>440.627</v>
      </c>
      <c r="K140" s="45">
        <v>285.332</v>
      </c>
      <c r="L140" s="45">
        <v>217.361</v>
      </c>
      <c r="M140" s="8">
        <v>325.615</v>
      </c>
      <c r="N140" s="8">
        <v>614.397</v>
      </c>
      <c r="O140" s="8">
        <v>694.446</v>
      </c>
      <c r="P140" s="8">
        <v>457.404</v>
      </c>
      <c r="Q140" s="8">
        <v>458.919</v>
      </c>
    </row>
    <row r="141" spans="1:17" ht="15">
      <c r="A141" s="75" t="s">
        <v>186</v>
      </c>
      <c r="B141" s="14">
        <v>135</v>
      </c>
      <c r="C141" s="45">
        <v>666.57</v>
      </c>
      <c r="D141" s="8">
        <v>678.077</v>
      </c>
      <c r="E141" s="45">
        <v>671.979</v>
      </c>
      <c r="F141" s="7">
        <v>670.948</v>
      </c>
      <c r="G141" s="45">
        <v>637.084</v>
      </c>
      <c r="H141" s="45">
        <v>360.898</v>
      </c>
      <c r="I141" s="45"/>
      <c r="J141" s="45">
        <v>506.241</v>
      </c>
      <c r="K141" s="45">
        <v>329.547</v>
      </c>
      <c r="L141" s="45">
        <v>245.682</v>
      </c>
      <c r="M141" s="8">
        <v>351.248</v>
      </c>
      <c r="N141" s="8">
        <v>688.584</v>
      </c>
      <c r="O141" s="8">
        <v>783.795</v>
      </c>
      <c r="P141" s="8">
        <v>517.742</v>
      </c>
      <c r="Q141" s="8">
        <v>519.117</v>
      </c>
    </row>
    <row r="142" spans="1:17" ht="15">
      <c r="A142" s="75" t="s">
        <v>187</v>
      </c>
      <c r="B142" s="14">
        <v>155</v>
      </c>
      <c r="C142" s="45">
        <v>683.064</v>
      </c>
      <c r="D142" s="8">
        <v>693.869</v>
      </c>
      <c r="E142" s="45">
        <v>688.295</v>
      </c>
      <c r="F142" s="7">
        <v>687.258</v>
      </c>
      <c r="G142" s="45">
        <v>655.219</v>
      </c>
      <c r="H142" s="45">
        <v>404.26</v>
      </c>
      <c r="I142" s="45"/>
      <c r="J142" s="45">
        <v>534.064</v>
      </c>
      <c r="K142" s="45">
        <v>376.407</v>
      </c>
      <c r="L142" s="45">
        <v>275.357</v>
      </c>
      <c r="M142" s="8">
        <v>372.628</v>
      </c>
      <c r="N142" s="8">
        <v>706.719</v>
      </c>
      <c r="O142" s="8">
        <v>800.659</v>
      </c>
      <c r="P142" s="8">
        <v>534.394</v>
      </c>
      <c r="Q142" s="8">
        <v>535.776</v>
      </c>
    </row>
    <row r="143" spans="1:17" ht="15">
      <c r="A143" s="75" t="s">
        <v>192</v>
      </c>
      <c r="B143" s="14">
        <v>167</v>
      </c>
      <c r="C143" s="45">
        <v>688.064</v>
      </c>
      <c r="D143" s="8">
        <v>699.119</v>
      </c>
      <c r="E143" s="45">
        <v>691.295</v>
      </c>
      <c r="F143" s="7">
        <v>690.258</v>
      </c>
      <c r="G143" s="45">
        <v>656.719</v>
      </c>
      <c r="H143" s="45">
        <v>404.76</v>
      </c>
      <c r="I143" s="45"/>
      <c r="J143" s="45">
        <v>535.064</v>
      </c>
      <c r="K143" s="45">
        <v>377.407</v>
      </c>
      <c r="L143" s="45">
        <v>276.107</v>
      </c>
      <c r="M143" s="8">
        <v>373.631</v>
      </c>
      <c r="N143" s="8">
        <v>709.719</v>
      </c>
      <c r="O143" s="8">
        <v>805.659</v>
      </c>
      <c r="P143" s="8">
        <v>535.144</v>
      </c>
      <c r="Q143" s="8">
        <v>536.526</v>
      </c>
    </row>
    <row r="144" spans="1:17" ht="15">
      <c r="A144" s="75" t="s">
        <v>190</v>
      </c>
      <c r="B144" s="14">
        <v>175</v>
      </c>
      <c r="C144" s="45">
        <v>683.33</v>
      </c>
      <c r="D144" s="8">
        <v>697.916</v>
      </c>
      <c r="E144" s="45">
        <v>688.371</v>
      </c>
      <c r="F144" s="7">
        <v>687.268</v>
      </c>
      <c r="G144" s="45">
        <v>656.202</v>
      </c>
      <c r="H144" s="45">
        <v>443.778</v>
      </c>
      <c r="I144" s="45"/>
      <c r="J144" s="45">
        <v>549.876</v>
      </c>
      <c r="K144" s="45">
        <v>462.052</v>
      </c>
      <c r="L144" s="45">
        <v>328.451</v>
      </c>
      <c r="M144" s="8">
        <v>380.976</v>
      </c>
      <c r="N144" s="8">
        <v>709.202</v>
      </c>
      <c r="O144" s="8">
        <v>814.65</v>
      </c>
      <c r="P144" s="8">
        <v>530.515</v>
      </c>
      <c r="Q144" s="8">
        <v>531.985</v>
      </c>
    </row>
    <row r="145" spans="1:17" ht="15">
      <c r="A145" s="75" t="s">
        <v>194</v>
      </c>
      <c r="B145" s="14">
        <v>197</v>
      </c>
      <c r="C145" s="45">
        <v>670.241</v>
      </c>
      <c r="D145" s="8">
        <v>684.619</v>
      </c>
      <c r="E145" s="45">
        <v>612.553</v>
      </c>
      <c r="F145" s="7">
        <v>611.447</v>
      </c>
      <c r="G145" s="45">
        <v>589.745</v>
      </c>
      <c r="H145" s="45">
        <v>400.59</v>
      </c>
      <c r="I145" s="45"/>
      <c r="J145" s="45">
        <v>487.95</v>
      </c>
      <c r="K145" s="45">
        <v>545.921</v>
      </c>
      <c r="L145" s="45">
        <v>372.729</v>
      </c>
      <c r="M145" s="8">
        <v>345.762</v>
      </c>
      <c r="N145" s="8">
        <v>642.745</v>
      </c>
      <c r="O145" s="8">
        <v>800.296</v>
      </c>
      <c r="P145" s="8">
        <v>517.197</v>
      </c>
      <c r="Q145" s="8">
        <v>518.674</v>
      </c>
    </row>
    <row r="146" spans="1:17" ht="15">
      <c r="A146" s="75" t="s">
        <v>195</v>
      </c>
      <c r="B146" s="14">
        <v>214</v>
      </c>
      <c r="C146" s="45">
        <v>623.186</v>
      </c>
      <c r="D146" s="45">
        <v>645.257</v>
      </c>
      <c r="E146" s="45">
        <v>567.246</v>
      </c>
      <c r="F146" s="45">
        <v>566.138</v>
      </c>
      <c r="G146" s="45">
        <v>569.928</v>
      </c>
      <c r="H146" s="45">
        <v>349.518</v>
      </c>
      <c r="I146" s="45"/>
      <c r="J146" s="45">
        <v>440.183</v>
      </c>
      <c r="K146" s="45">
        <v>467.294</v>
      </c>
      <c r="L146" s="45">
        <v>323.145</v>
      </c>
      <c r="M146" s="45">
        <v>315.051</v>
      </c>
      <c r="N146" s="45">
        <v>622.928</v>
      </c>
      <c r="O146" s="45">
        <v>766.814</v>
      </c>
      <c r="P146" s="45">
        <v>464.25</v>
      </c>
      <c r="Q146" s="45">
        <v>465.727</v>
      </c>
    </row>
    <row r="147" spans="1:17" ht="15">
      <c r="A147" s="102" t="s">
        <v>197</v>
      </c>
      <c r="B147" s="55">
        <v>226</v>
      </c>
      <c r="C147" s="68">
        <v>628.186</v>
      </c>
      <c r="D147" s="56">
        <v>650.507</v>
      </c>
      <c r="E147" s="68">
        <v>570.246</v>
      </c>
      <c r="F147" s="56">
        <v>569.138</v>
      </c>
      <c r="G147" s="68">
        <v>571.428</v>
      </c>
      <c r="H147" s="68">
        <v>350.018</v>
      </c>
      <c r="I147" s="68"/>
      <c r="J147" s="68">
        <v>441.183</v>
      </c>
      <c r="K147" s="68">
        <v>468.294</v>
      </c>
      <c r="L147" s="68">
        <v>323.895</v>
      </c>
      <c r="M147" s="56">
        <v>316.051</v>
      </c>
      <c r="N147" s="56">
        <v>625.928</v>
      </c>
      <c r="O147" s="56">
        <v>771.814</v>
      </c>
      <c r="P147" s="56">
        <v>465</v>
      </c>
      <c r="Q147" s="56">
        <v>466.477</v>
      </c>
    </row>
    <row r="148" spans="1:17" ht="15">
      <c r="A148" s="75" t="s">
        <v>200</v>
      </c>
      <c r="B148" s="14">
        <v>227</v>
      </c>
      <c r="C148" s="45">
        <v>582.088</v>
      </c>
      <c r="D148" s="8">
        <v>598.444</v>
      </c>
      <c r="E148" s="45">
        <v>566.847</v>
      </c>
      <c r="F148" s="8">
        <v>565.575</v>
      </c>
      <c r="G148" s="45">
        <v>527.06</v>
      </c>
      <c r="H148" s="45">
        <v>327.695</v>
      </c>
      <c r="I148" s="45"/>
      <c r="J148" s="45">
        <v>423.028</v>
      </c>
      <c r="K148" s="45">
        <v>425.539</v>
      </c>
      <c r="L148" s="45">
        <v>271.594</v>
      </c>
      <c r="M148" s="8">
        <v>280.115</v>
      </c>
      <c r="N148" s="8">
        <v>592.52</v>
      </c>
      <c r="O148" s="8">
        <v>611.275</v>
      </c>
      <c r="P148" s="8">
        <v>411.836</v>
      </c>
      <c r="Q148" s="8">
        <v>413.532</v>
      </c>
    </row>
    <row r="149" spans="1:17" ht="15">
      <c r="A149" s="75" t="s">
        <v>201</v>
      </c>
      <c r="B149" s="14">
        <v>240</v>
      </c>
      <c r="C149" s="45">
        <v>432.15</v>
      </c>
      <c r="D149" s="8">
        <v>446.548</v>
      </c>
      <c r="E149" s="45">
        <v>480.585</v>
      </c>
      <c r="F149" s="8">
        <v>479.16</v>
      </c>
      <c r="G149" s="45">
        <v>434.677</v>
      </c>
      <c r="H149" s="45">
        <v>181.202</v>
      </c>
      <c r="I149" s="45"/>
      <c r="J149" s="45">
        <v>310.817</v>
      </c>
      <c r="K149" s="45">
        <v>332.25</v>
      </c>
      <c r="L149" s="45">
        <v>199.818</v>
      </c>
      <c r="M149" s="8">
        <v>200.995</v>
      </c>
      <c r="N149" s="8">
        <v>500.137</v>
      </c>
      <c r="O149" s="8">
        <v>466.891</v>
      </c>
      <c r="P149" s="8">
        <v>267.112</v>
      </c>
      <c r="Q149" s="8">
        <v>269.012</v>
      </c>
    </row>
    <row r="150" spans="1:17" ht="15">
      <c r="A150" s="75" t="s">
        <v>203</v>
      </c>
      <c r="B150" s="14">
        <v>12</v>
      </c>
      <c r="C150" s="45">
        <v>366.539</v>
      </c>
      <c r="D150" s="8">
        <v>374.216</v>
      </c>
      <c r="E150" s="45">
        <v>385.041</v>
      </c>
      <c r="F150" s="8">
        <v>383.523</v>
      </c>
      <c r="G150" s="45">
        <v>338.79</v>
      </c>
      <c r="H150" s="45">
        <v>166.993</v>
      </c>
      <c r="I150" s="45"/>
      <c r="J150" s="45">
        <v>256.452</v>
      </c>
      <c r="K150" s="45">
        <v>278.026</v>
      </c>
      <c r="L150" s="45">
        <v>172.63</v>
      </c>
      <c r="M150" s="8">
        <v>152.092</v>
      </c>
      <c r="N150" s="8">
        <v>398.74</v>
      </c>
      <c r="O150" s="8">
        <v>625.119</v>
      </c>
      <c r="P150" s="8">
        <v>188.404</v>
      </c>
      <c r="Q150" s="8">
        <v>190.428</v>
      </c>
    </row>
    <row r="151" spans="1:17" ht="15">
      <c r="A151" s="75" t="s">
        <v>348</v>
      </c>
      <c r="B151" s="14">
        <v>30</v>
      </c>
      <c r="C151" s="45">
        <v>384.304</v>
      </c>
      <c r="D151" s="8">
        <v>389.696</v>
      </c>
      <c r="E151" s="45">
        <v>388.189</v>
      </c>
      <c r="F151" s="8">
        <v>386.71</v>
      </c>
      <c r="G151" s="45">
        <v>349.853</v>
      </c>
      <c r="H151" s="45">
        <v>169.396</v>
      </c>
      <c r="I151" s="45"/>
      <c r="J151" s="45">
        <v>259.315</v>
      </c>
      <c r="K151" s="45">
        <v>248.905</v>
      </c>
      <c r="L151" s="45">
        <v>162.656</v>
      </c>
      <c r="M151" s="8">
        <v>172.997</v>
      </c>
      <c r="N151" s="8">
        <v>409.803</v>
      </c>
      <c r="O151" s="8">
        <v>612.526</v>
      </c>
      <c r="P151" s="8">
        <v>211.671</v>
      </c>
      <c r="Q151" s="8">
        <v>213.15</v>
      </c>
    </row>
    <row r="152" spans="1:17" ht="15">
      <c r="A152" s="75" t="s">
        <v>349</v>
      </c>
      <c r="B152" s="14">
        <v>36</v>
      </c>
      <c r="C152" s="45">
        <v>387.554</v>
      </c>
      <c r="D152" s="45">
        <v>393.196</v>
      </c>
      <c r="E152" s="45">
        <v>390.189</v>
      </c>
      <c r="F152" s="45">
        <v>388.71</v>
      </c>
      <c r="G152" s="45">
        <v>350.853</v>
      </c>
      <c r="H152" s="45">
        <v>169.646</v>
      </c>
      <c r="I152" s="45"/>
      <c r="J152" s="45">
        <v>260.065</v>
      </c>
      <c r="K152" s="45">
        <v>249.655</v>
      </c>
      <c r="L152" s="45">
        <v>163.156</v>
      </c>
      <c r="M152" s="45">
        <v>173.747</v>
      </c>
      <c r="N152" s="45">
        <v>411.803</v>
      </c>
      <c r="O152" s="45">
        <v>615.776</v>
      </c>
      <c r="P152" s="45">
        <v>212.171</v>
      </c>
      <c r="Q152" s="45">
        <v>213.65</v>
      </c>
    </row>
    <row r="153" spans="1:17" ht="15">
      <c r="A153" s="75" t="s">
        <v>350</v>
      </c>
      <c r="B153" s="14">
        <v>55</v>
      </c>
      <c r="C153" s="45">
        <v>432.448</v>
      </c>
      <c r="D153" s="45">
        <v>444.987</v>
      </c>
      <c r="E153" s="45">
        <v>373.354</v>
      </c>
      <c r="F153" s="45">
        <v>368.757</v>
      </c>
      <c r="G153" s="45">
        <v>315.548</v>
      </c>
      <c r="H153" s="45">
        <v>216.298</v>
      </c>
      <c r="I153" s="45"/>
      <c r="J153" s="45">
        <v>267.496</v>
      </c>
      <c r="K153" s="45">
        <v>237.477</v>
      </c>
      <c r="L153" s="45">
        <v>155.832</v>
      </c>
      <c r="M153" s="45">
        <v>186.438</v>
      </c>
      <c r="N153" s="45">
        <v>376.498</v>
      </c>
      <c r="O153" s="45">
        <v>665.687</v>
      </c>
      <c r="P153" s="45">
        <v>265.521</v>
      </c>
      <c r="Q153" s="45">
        <v>267.503</v>
      </c>
    </row>
    <row r="154" spans="1:17" ht="15">
      <c r="A154" s="75" t="s">
        <v>351</v>
      </c>
      <c r="B154" s="14">
        <v>71</v>
      </c>
      <c r="C154" s="45">
        <v>432.199</v>
      </c>
      <c r="D154" s="45">
        <v>442.443</v>
      </c>
      <c r="E154" s="45">
        <v>344.018</v>
      </c>
      <c r="F154" s="45">
        <v>341.705</v>
      </c>
      <c r="G154" s="45">
        <v>290.941</v>
      </c>
      <c r="H154" s="45">
        <v>195.032</v>
      </c>
      <c r="I154" s="45"/>
      <c r="J154" s="45">
        <v>242.826</v>
      </c>
      <c r="K154" s="45">
        <v>237.614</v>
      </c>
      <c r="L154" s="45">
        <v>153.654</v>
      </c>
      <c r="M154" s="45">
        <v>169.303</v>
      </c>
      <c r="N154" s="45">
        <v>351.891</v>
      </c>
      <c r="O154" s="45">
        <v>675.584</v>
      </c>
      <c r="P154" s="45">
        <v>264.424</v>
      </c>
      <c r="Q154" s="45">
        <v>266.445</v>
      </c>
    </row>
    <row r="155" spans="1:17" ht="15">
      <c r="A155" s="75" t="s">
        <v>352</v>
      </c>
      <c r="B155" s="14">
        <v>98</v>
      </c>
      <c r="C155" s="45">
        <v>393.121</v>
      </c>
      <c r="D155" s="45">
        <v>410.071</v>
      </c>
      <c r="E155" s="45">
        <v>312.371</v>
      </c>
      <c r="F155" s="45">
        <v>310.21</v>
      </c>
      <c r="G155" s="45">
        <v>275.698</v>
      </c>
      <c r="H155" s="45">
        <v>182.216</v>
      </c>
      <c r="I155" s="45"/>
      <c r="J155" s="45">
        <v>229.378</v>
      </c>
      <c r="K155" s="45">
        <v>258.831</v>
      </c>
      <c r="L155" s="45">
        <v>145.7</v>
      </c>
      <c r="M155" s="45">
        <v>148.093</v>
      </c>
      <c r="N155" s="45">
        <v>298.278</v>
      </c>
      <c r="O155" s="45">
        <v>644.433</v>
      </c>
      <c r="P155" s="45">
        <v>248.948</v>
      </c>
      <c r="Q155" s="45">
        <v>250.837</v>
      </c>
    </row>
    <row r="156" spans="1:17" ht="15">
      <c r="A156" s="75" t="s">
        <v>353</v>
      </c>
      <c r="B156" s="14">
        <v>113</v>
      </c>
      <c r="C156" s="45">
        <v>430.542</v>
      </c>
      <c r="D156" s="45">
        <v>450.585</v>
      </c>
      <c r="E156" s="45">
        <v>358.508</v>
      </c>
      <c r="F156" s="45">
        <v>350.457</v>
      </c>
      <c r="G156" s="45">
        <v>313.468</v>
      </c>
      <c r="H156" s="45">
        <v>230.104</v>
      </c>
      <c r="I156" s="45"/>
      <c r="J156" s="45">
        <v>271.264</v>
      </c>
      <c r="K156" s="45">
        <v>269.402</v>
      </c>
      <c r="L156" s="45">
        <v>156.08</v>
      </c>
      <c r="M156" s="45">
        <v>156.386</v>
      </c>
      <c r="N156" s="45">
        <v>336.048</v>
      </c>
      <c r="O156" s="45">
        <v>689.027</v>
      </c>
      <c r="P156" s="45">
        <v>284.732</v>
      </c>
      <c r="Q156" s="45">
        <v>286.651</v>
      </c>
    </row>
    <row r="157" spans="1:17" ht="15">
      <c r="A157" s="75" t="s">
        <v>354</v>
      </c>
      <c r="B157" s="14">
        <v>137</v>
      </c>
      <c r="C157" s="45">
        <v>509.342</v>
      </c>
      <c r="D157" s="45">
        <v>527.903</v>
      </c>
      <c r="E157" s="45">
        <v>420.212</v>
      </c>
      <c r="F157" s="45">
        <v>417.038</v>
      </c>
      <c r="G157" s="45">
        <v>376.241</v>
      </c>
      <c r="H157" s="45">
        <v>264.182</v>
      </c>
      <c r="I157" s="45"/>
      <c r="J157" s="45">
        <v>322.606</v>
      </c>
      <c r="K157" s="45">
        <v>284.67</v>
      </c>
      <c r="L157" s="45">
        <v>168.695</v>
      </c>
      <c r="M157" s="45">
        <v>189.041</v>
      </c>
      <c r="N157" s="45">
        <v>399.431</v>
      </c>
      <c r="O157" s="45">
        <v>743.101</v>
      </c>
      <c r="P157" s="45">
        <v>348.668</v>
      </c>
      <c r="Q157" s="45">
        <v>350.503</v>
      </c>
    </row>
    <row r="158" spans="1:17" ht="15">
      <c r="A158" s="75" t="s">
        <v>355</v>
      </c>
      <c r="B158" s="14">
        <v>155</v>
      </c>
      <c r="C158" s="45">
        <v>506.856</v>
      </c>
      <c r="D158" s="45">
        <v>524.651</v>
      </c>
      <c r="E158" s="45">
        <v>430.396</v>
      </c>
      <c r="F158" s="45">
        <v>419.176</v>
      </c>
      <c r="G158" s="45">
        <v>376.83</v>
      </c>
      <c r="H158" s="45">
        <v>272.832</v>
      </c>
      <c r="I158" s="45"/>
      <c r="J158" s="45">
        <v>320.816</v>
      </c>
      <c r="K158" s="45">
        <v>300.45</v>
      </c>
      <c r="L158" s="45">
        <v>198.467</v>
      </c>
      <c r="M158" s="45">
        <v>200.702</v>
      </c>
      <c r="N158" s="45">
        <v>433.69</v>
      </c>
      <c r="O158" s="45">
        <v>737.828</v>
      </c>
      <c r="P158" s="45">
        <v>337.745</v>
      </c>
      <c r="Q158" s="45">
        <v>339.615</v>
      </c>
    </row>
    <row r="159" spans="1:17" ht="15">
      <c r="A159" s="75" t="s">
        <v>356</v>
      </c>
      <c r="B159" s="14">
        <v>181</v>
      </c>
      <c r="C159" s="45">
        <v>539.67</v>
      </c>
      <c r="D159" s="45">
        <v>559.046</v>
      </c>
      <c r="E159" s="45">
        <v>463.735</v>
      </c>
      <c r="F159" s="45">
        <v>456.326</v>
      </c>
      <c r="G159" s="45">
        <v>401.096</v>
      </c>
      <c r="H159" s="45">
        <v>291.324</v>
      </c>
      <c r="I159" s="45"/>
      <c r="J159" s="45">
        <v>349.613</v>
      </c>
      <c r="K159" s="45">
        <v>285.979</v>
      </c>
      <c r="L159" s="45">
        <v>192.061</v>
      </c>
      <c r="M159" s="45">
        <v>217.017</v>
      </c>
      <c r="N159" s="45">
        <v>457.956</v>
      </c>
      <c r="O159" s="45">
        <v>751.347</v>
      </c>
      <c r="P159" s="45">
        <v>372.433</v>
      </c>
      <c r="Q159" s="45">
        <v>374.27</v>
      </c>
    </row>
    <row r="160" spans="1:17" ht="15">
      <c r="A160" s="75" t="s">
        <v>357</v>
      </c>
      <c r="B160" s="14">
        <v>195</v>
      </c>
      <c r="C160" s="45">
        <v>516.396</v>
      </c>
      <c r="D160" s="45">
        <v>532.857</v>
      </c>
      <c r="E160" s="45">
        <v>442.5</v>
      </c>
      <c r="F160" s="45">
        <v>437.384</v>
      </c>
      <c r="G160" s="45">
        <v>379.459</v>
      </c>
      <c r="H160" s="45">
        <v>296.899</v>
      </c>
      <c r="I160" s="45"/>
      <c r="J160" s="45">
        <v>341.647</v>
      </c>
      <c r="K160" s="45">
        <v>283.671</v>
      </c>
      <c r="L160" s="45">
        <v>191.277</v>
      </c>
      <c r="M160" s="45">
        <v>230.321</v>
      </c>
      <c r="N160" s="45">
        <v>436.319</v>
      </c>
      <c r="O160" s="45">
        <v>740.959</v>
      </c>
      <c r="P160" s="45">
        <v>334.248</v>
      </c>
      <c r="Q160" s="45">
        <v>336.096</v>
      </c>
    </row>
    <row r="161" spans="1:17" ht="15">
      <c r="A161" s="75" t="s">
        <v>358</v>
      </c>
      <c r="B161" s="14">
        <v>215</v>
      </c>
      <c r="C161" s="45">
        <v>505.228</v>
      </c>
      <c r="D161" s="45">
        <v>522.334</v>
      </c>
      <c r="E161" s="45">
        <v>446.066</v>
      </c>
      <c r="F161" s="45">
        <v>441.282</v>
      </c>
      <c r="G161" s="45">
        <v>383.297</v>
      </c>
      <c r="H161" s="45">
        <v>285.368</v>
      </c>
      <c r="I161" s="45"/>
      <c r="J161" s="45">
        <v>338.059</v>
      </c>
      <c r="K161" s="45">
        <v>286.701</v>
      </c>
      <c r="L161" s="45">
        <v>192.12</v>
      </c>
      <c r="M161" s="45">
        <v>230.415</v>
      </c>
      <c r="N161" s="45">
        <v>440.907</v>
      </c>
      <c r="O161" s="45">
        <v>727.31</v>
      </c>
      <c r="P161" s="45">
        <v>326.583</v>
      </c>
      <c r="Q161" s="45">
        <v>328.451</v>
      </c>
    </row>
    <row r="162" spans="1:17" ht="15">
      <c r="A162" s="75" t="s">
        <v>325</v>
      </c>
      <c r="B162" s="14">
        <v>241</v>
      </c>
      <c r="C162" s="45">
        <v>530.663</v>
      </c>
      <c r="D162" s="45">
        <v>546.298</v>
      </c>
      <c r="E162" s="45">
        <v>469.479</v>
      </c>
      <c r="F162" s="45">
        <v>467.622</v>
      </c>
      <c r="G162" s="45">
        <v>407.001</v>
      </c>
      <c r="H162" s="45">
        <v>308.748</v>
      </c>
      <c r="I162" s="45"/>
      <c r="J162" s="45">
        <v>363.074</v>
      </c>
      <c r="K162" s="45">
        <v>294.461</v>
      </c>
      <c r="L162" s="45">
        <v>198.585</v>
      </c>
      <c r="M162" s="45">
        <v>247.395</v>
      </c>
      <c r="N162" s="45">
        <v>464.611</v>
      </c>
      <c r="O162" s="45">
        <v>741.131</v>
      </c>
      <c r="P162" s="45">
        <v>356.143</v>
      </c>
      <c r="Q162" s="45">
        <v>357.911</v>
      </c>
    </row>
    <row r="163" spans="1:17" ht="15">
      <c r="A163" s="75" t="s">
        <v>327</v>
      </c>
      <c r="B163" s="14">
        <v>32</v>
      </c>
      <c r="C163" s="45">
        <v>557.113</v>
      </c>
      <c r="D163" s="45">
        <v>585.033</v>
      </c>
      <c r="E163" s="45">
        <v>492.341</v>
      </c>
      <c r="F163" s="45">
        <v>490.182</v>
      </c>
      <c r="G163" s="45">
        <v>432.268</v>
      </c>
      <c r="H163" s="45">
        <v>307.481</v>
      </c>
      <c r="I163" s="45"/>
      <c r="J163" s="45">
        <v>380.277</v>
      </c>
      <c r="K163" s="45">
        <v>317.32</v>
      </c>
      <c r="L163" s="45">
        <v>217.39</v>
      </c>
      <c r="M163" s="45">
        <v>308.184</v>
      </c>
      <c r="N163" s="45">
        <v>495.318</v>
      </c>
      <c r="O163" s="45">
        <v>759.675</v>
      </c>
      <c r="P163" s="45">
        <v>387.937</v>
      </c>
      <c r="Q163" s="45">
        <v>389.72</v>
      </c>
    </row>
    <row r="164" spans="1:17" ht="15">
      <c r="A164" s="75" t="s">
        <v>329</v>
      </c>
      <c r="B164" s="14">
        <v>53</v>
      </c>
      <c r="C164" s="45">
        <v>523.794</v>
      </c>
      <c r="D164" s="45">
        <v>551.193</v>
      </c>
      <c r="E164" s="45">
        <v>452.193</v>
      </c>
      <c r="F164" s="45">
        <v>446.929</v>
      </c>
      <c r="G164" s="45">
        <v>391.869</v>
      </c>
      <c r="H164" s="45">
        <v>281.759</v>
      </c>
      <c r="I164" s="45"/>
      <c r="J164" s="45">
        <v>344.873</v>
      </c>
      <c r="K164" s="45">
        <v>328.561</v>
      </c>
      <c r="L164" s="45">
        <v>221.106</v>
      </c>
      <c r="M164" s="45">
        <v>293.133</v>
      </c>
      <c r="N164" s="45">
        <v>454.919</v>
      </c>
      <c r="O164" s="45">
        <v>758.616</v>
      </c>
      <c r="P164" s="45">
        <v>349.978</v>
      </c>
      <c r="Q164" s="45">
        <v>351.714</v>
      </c>
    </row>
    <row r="165" spans="1:17" ht="15">
      <c r="A165" s="75" t="s">
        <v>332</v>
      </c>
      <c r="B165" s="14">
        <v>75</v>
      </c>
      <c r="C165" s="45">
        <v>554.999</v>
      </c>
      <c r="D165" s="7">
        <v>586.398</v>
      </c>
      <c r="E165" s="7">
        <v>461.903</v>
      </c>
      <c r="F165" s="7">
        <v>471.733</v>
      </c>
      <c r="G165" s="7">
        <v>409.938</v>
      </c>
      <c r="H165" s="7">
        <v>284.545</v>
      </c>
      <c r="I165" s="7"/>
      <c r="J165" s="7">
        <v>354.39</v>
      </c>
      <c r="K165" s="7">
        <v>328.425</v>
      </c>
      <c r="L165" s="7">
        <v>221.284</v>
      </c>
      <c r="M165" s="7">
        <v>271.017</v>
      </c>
      <c r="N165" s="7">
        <v>472.988</v>
      </c>
      <c r="O165" s="7">
        <v>779.456</v>
      </c>
      <c r="P165" s="7">
        <v>377.261</v>
      </c>
      <c r="Q165" s="7">
        <v>378.961</v>
      </c>
    </row>
    <row r="166" spans="1:17" ht="15">
      <c r="A166" s="72" t="s">
        <v>333</v>
      </c>
      <c r="B166" s="14">
        <v>86</v>
      </c>
      <c r="C166" s="7">
        <v>545.235</v>
      </c>
      <c r="D166" s="7">
        <v>575.959</v>
      </c>
      <c r="E166" s="7">
        <v>464.951</v>
      </c>
      <c r="F166" s="7">
        <v>471.964</v>
      </c>
      <c r="G166" s="7">
        <v>412.552</v>
      </c>
      <c r="H166" s="7">
        <v>273.113</v>
      </c>
      <c r="I166" s="7"/>
      <c r="J166" s="7">
        <v>350.955</v>
      </c>
      <c r="K166" s="7">
        <v>318.846</v>
      </c>
      <c r="L166" s="7">
        <v>214.888</v>
      </c>
      <c r="M166" s="7">
        <v>254.354</v>
      </c>
      <c r="N166" s="7">
        <v>475.602</v>
      </c>
      <c r="O166" s="7">
        <v>765.733</v>
      </c>
      <c r="P166" s="7">
        <v>362.995</v>
      </c>
      <c r="Q166" s="7">
        <v>364.62</v>
      </c>
    </row>
    <row r="167" spans="1:17" ht="15">
      <c r="A167" s="72" t="s">
        <v>359</v>
      </c>
      <c r="B167" s="14">
        <v>98</v>
      </c>
      <c r="C167" s="7">
        <v>549.985</v>
      </c>
      <c r="D167" s="7">
        <v>580.929</v>
      </c>
      <c r="E167" s="7">
        <v>474.714</v>
      </c>
      <c r="F167" s="7">
        <v>467.701</v>
      </c>
      <c r="G167" s="7">
        <v>414.052</v>
      </c>
      <c r="H167" s="7">
        <v>273.613</v>
      </c>
      <c r="I167" s="7"/>
      <c r="J167" s="7">
        <v>351.955</v>
      </c>
      <c r="K167" s="7">
        <v>319.846</v>
      </c>
      <c r="L167" s="7">
        <v>215.638</v>
      </c>
      <c r="M167" s="7">
        <v>255.354</v>
      </c>
      <c r="N167" s="7">
        <v>478.352</v>
      </c>
      <c r="O167" s="7">
        <v>770.483</v>
      </c>
      <c r="P167" s="7">
        <v>363.745</v>
      </c>
      <c r="Q167" s="7">
        <v>365.37</v>
      </c>
    </row>
    <row r="168" spans="1:17" ht="15">
      <c r="A168" s="75" t="s">
        <v>337</v>
      </c>
      <c r="B168" s="14">
        <v>155</v>
      </c>
      <c r="C168" s="45">
        <v>544.185</v>
      </c>
      <c r="D168" s="8">
        <v>575.835</v>
      </c>
      <c r="E168" s="8">
        <v>476.192</v>
      </c>
      <c r="F168" s="8">
        <v>466.88</v>
      </c>
      <c r="G168" s="8">
        <v>411.701</v>
      </c>
      <c r="H168" s="8">
        <v>274.159</v>
      </c>
      <c r="I168" s="8"/>
      <c r="J168" s="8">
        <v>351.746</v>
      </c>
      <c r="K168" s="8">
        <v>309.949</v>
      </c>
      <c r="L168" s="8">
        <v>210.155</v>
      </c>
      <c r="M168" s="8">
        <v>256.985</v>
      </c>
      <c r="N168" s="8">
        <v>476.001</v>
      </c>
      <c r="O168" s="8">
        <v>767.753</v>
      </c>
      <c r="P168" s="8">
        <v>360.301</v>
      </c>
      <c r="Q168" s="8">
        <v>361.92</v>
      </c>
    </row>
    <row r="169" spans="1:17" ht="15">
      <c r="A169" s="75" t="s">
        <v>339</v>
      </c>
      <c r="B169" s="14">
        <v>137</v>
      </c>
      <c r="C169" s="45">
        <v>520.288</v>
      </c>
      <c r="D169" s="8">
        <v>561.929</v>
      </c>
      <c r="E169" s="8">
        <v>453.831</v>
      </c>
      <c r="F169" s="8">
        <v>449.308</v>
      </c>
      <c r="G169" s="8">
        <v>397.254</v>
      </c>
      <c r="H169" s="8">
        <v>258.598</v>
      </c>
      <c r="I169" s="8"/>
      <c r="J169" s="8">
        <v>335.339</v>
      </c>
      <c r="K169" s="8">
        <v>316.652</v>
      </c>
      <c r="L169" s="8">
        <v>205.785</v>
      </c>
      <c r="M169" s="8">
        <v>264.083</v>
      </c>
      <c r="N169" s="8">
        <v>474.974</v>
      </c>
      <c r="O169" s="8">
        <v>741.989</v>
      </c>
      <c r="P169" s="8">
        <v>352.036</v>
      </c>
      <c r="Q169" s="8">
        <v>353.723</v>
      </c>
    </row>
    <row r="170" spans="1:17" ht="15">
      <c r="A170" s="75" t="s">
        <v>341</v>
      </c>
      <c r="B170" s="14">
        <v>156</v>
      </c>
      <c r="C170" s="45">
        <v>519.609</v>
      </c>
      <c r="D170" s="8">
        <v>544.768</v>
      </c>
      <c r="E170" s="8">
        <v>442.343</v>
      </c>
      <c r="F170" s="8">
        <v>436.028</v>
      </c>
      <c r="G170" s="8">
        <v>389.057</v>
      </c>
      <c r="H170" s="8">
        <v>275.704</v>
      </c>
      <c r="I170" s="8"/>
      <c r="J170" s="8">
        <v>330.737</v>
      </c>
      <c r="K170" s="8">
        <v>296.894</v>
      </c>
      <c r="L170" s="8">
        <v>189.678</v>
      </c>
      <c r="M170" s="8">
        <v>230.615</v>
      </c>
      <c r="N170" s="8">
        <v>461.477</v>
      </c>
      <c r="O170" s="8">
        <v>733.149</v>
      </c>
      <c r="P170" s="8">
        <v>345.483</v>
      </c>
      <c r="Q170" s="8">
        <v>347.142</v>
      </c>
    </row>
    <row r="171" spans="1:17" ht="15">
      <c r="A171" s="75" t="s">
        <v>343</v>
      </c>
      <c r="B171" s="14">
        <v>159</v>
      </c>
      <c r="C171" s="45">
        <v>521.109</v>
      </c>
      <c r="D171" s="8">
        <v>546.518</v>
      </c>
      <c r="E171" s="8">
        <v>443.343</v>
      </c>
      <c r="F171" s="8">
        <v>437.028</v>
      </c>
      <c r="G171" s="8">
        <v>389.557</v>
      </c>
      <c r="H171" s="8">
        <v>275.954</v>
      </c>
      <c r="I171" s="8"/>
      <c r="J171" s="8">
        <v>330.987</v>
      </c>
      <c r="K171" s="8">
        <v>297.144</v>
      </c>
      <c r="L171" s="8">
        <v>189.928</v>
      </c>
      <c r="M171" s="8">
        <v>230.865</v>
      </c>
      <c r="N171" s="8">
        <v>462.477</v>
      </c>
      <c r="O171" s="8">
        <v>734.649</v>
      </c>
      <c r="P171" s="8">
        <v>345.733</v>
      </c>
      <c r="Q171" s="8">
        <v>347.392</v>
      </c>
    </row>
    <row r="172" spans="1:17" ht="15">
      <c r="A172" s="75" t="s">
        <v>345</v>
      </c>
      <c r="B172" s="14">
        <v>179</v>
      </c>
      <c r="C172" s="45">
        <v>519.695</v>
      </c>
      <c r="D172" s="8">
        <v>544.818</v>
      </c>
      <c r="E172" s="8">
        <v>456.203</v>
      </c>
      <c r="F172" s="8">
        <v>445.842</v>
      </c>
      <c r="G172" s="8">
        <v>401.872</v>
      </c>
      <c r="H172" s="8">
        <v>282.964</v>
      </c>
      <c r="I172" s="8"/>
      <c r="J172" s="8">
        <v>338.994</v>
      </c>
      <c r="K172" s="8">
        <v>279.825</v>
      </c>
      <c r="L172" s="8">
        <v>180.704</v>
      </c>
      <c r="M172" s="8">
        <v>241.325</v>
      </c>
      <c r="N172" s="8">
        <v>474.792</v>
      </c>
      <c r="O172" s="8">
        <v>722.307</v>
      </c>
      <c r="P172" s="8">
        <v>337.782</v>
      </c>
      <c r="Q172" s="8">
        <v>339.393</v>
      </c>
    </row>
    <row r="173" spans="1:17" ht="15">
      <c r="A173" s="75" t="s">
        <v>360</v>
      </c>
      <c r="B173" s="14">
        <v>195</v>
      </c>
      <c r="C173" s="45">
        <v>506.604</v>
      </c>
      <c r="D173" s="8">
        <v>530.966</v>
      </c>
      <c r="E173" s="8">
        <v>445.354</v>
      </c>
      <c r="F173" s="8">
        <v>440.771</v>
      </c>
      <c r="G173" s="8">
        <v>390.746</v>
      </c>
      <c r="H173" s="8">
        <v>273.798</v>
      </c>
      <c r="I173" s="8"/>
      <c r="J173" s="8">
        <v>332.09</v>
      </c>
      <c r="K173" s="8">
        <v>289.75</v>
      </c>
      <c r="L173" s="8">
        <v>185.383</v>
      </c>
      <c r="M173" s="8">
        <v>238.188</v>
      </c>
      <c r="N173" s="8">
        <v>463.666</v>
      </c>
      <c r="O173" s="8">
        <v>716.056</v>
      </c>
      <c r="P173" s="8">
        <v>333.972</v>
      </c>
      <c r="Q173" s="8">
        <v>335.593</v>
      </c>
    </row>
    <row r="174" spans="1:17" ht="15">
      <c r="A174" s="75" t="s">
        <v>361</v>
      </c>
      <c r="B174" s="14">
        <v>223</v>
      </c>
      <c r="C174" s="45">
        <v>520.585</v>
      </c>
      <c r="D174" s="8">
        <v>547.527</v>
      </c>
      <c r="E174" s="8">
        <v>465.802</v>
      </c>
      <c r="F174" s="8">
        <v>462.457</v>
      </c>
      <c r="G174" s="8">
        <v>410.75</v>
      </c>
      <c r="H174" s="8">
        <v>286.083</v>
      </c>
      <c r="I174" s="8"/>
      <c r="J174" s="8">
        <v>349.567</v>
      </c>
      <c r="K174" s="8">
        <v>287.177</v>
      </c>
      <c r="L174" s="8">
        <v>185.098</v>
      </c>
      <c r="M174" s="8">
        <v>257.217</v>
      </c>
      <c r="N174" s="9">
        <v>483.67</v>
      </c>
      <c r="O174" s="8">
        <v>721.537</v>
      </c>
      <c r="P174" s="8">
        <v>348.538</v>
      </c>
      <c r="Q174" s="8">
        <v>350.147</v>
      </c>
    </row>
    <row r="175" spans="1:17" ht="15">
      <c r="A175" s="75" t="s">
        <v>363</v>
      </c>
      <c r="B175" s="14">
        <v>239</v>
      </c>
      <c r="C175" s="45">
        <v>521.335</v>
      </c>
      <c r="D175" s="8">
        <v>548.527</v>
      </c>
      <c r="E175" s="8">
        <v>466.302</v>
      </c>
      <c r="F175" s="8">
        <v>462.957</v>
      </c>
      <c r="G175" s="8">
        <v>411</v>
      </c>
      <c r="H175" s="8">
        <v>286.083</v>
      </c>
      <c r="I175" s="8"/>
      <c r="J175" s="8">
        <v>349.817</v>
      </c>
      <c r="K175" s="8">
        <v>287.427</v>
      </c>
      <c r="L175" s="8">
        <v>185.348</v>
      </c>
      <c r="M175" s="8">
        <v>257.467</v>
      </c>
      <c r="N175" s="9">
        <v>484.17</v>
      </c>
      <c r="O175" s="8">
        <v>722.287</v>
      </c>
      <c r="P175" s="8">
        <v>348.538</v>
      </c>
      <c r="Q175" s="8">
        <v>350.147</v>
      </c>
    </row>
    <row r="176" spans="1:17" s="5" customFormat="1" ht="15">
      <c r="A176" s="74" t="s">
        <v>365</v>
      </c>
      <c r="B176" s="3">
        <v>246</v>
      </c>
      <c r="C176" s="7">
        <v>531.134</v>
      </c>
      <c r="D176" s="7">
        <v>559.326</v>
      </c>
      <c r="E176" s="7">
        <v>483.43</v>
      </c>
      <c r="F176" s="7">
        <v>480.719</v>
      </c>
      <c r="G176" s="7">
        <v>428.031</v>
      </c>
      <c r="H176" s="7">
        <v>298.149</v>
      </c>
      <c r="I176" s="7"/>
      <c r="J176" s="7">
        <v>365.029</v>
      </c>
      <c r="K176" s="7">
        <v>293.837</v>
      </c>
      <c r="L176" s="7">
        <v>190.029</v>
      </c>
      <c r="M176" s="7">
        <v>267.535</v>
      </c>
      <c r="N176" s="7">
        <v>501.201</v>
      </c>
      <c r="O176" s="7">
        <v>733.625</v>
      </c>
      <c r="P176" s="7">
        <v>358.674</v>
      </c>
      <c r="Q176" s="7">
        <v>360.272</v>
      </c>
    </row>
    <row r="177" spans="1:17" ht="15">
      <c r="A177" s="75" t="s">
        <v>367</v>
      </c>
      <c r="B177" s="14">
        <v>16</v>
      </c>
      <c r="C177" s="45">
        <v>547.833</v>
      </c>
      <c r="D177" s="8">
        <v>566.519</v>
      </c>
      <c r="E177" s="8">
        <v>485.575</v>
      </c>
      <c r="F177" s="8">
        <v>484.77</v>
      </c>
      <c r="G177" s="8">
        <v>434.674</v>
      </c>
      <c r="H177" s="8">
        <v>298.595</v>
      </c>
      <c r="I177" s="8"/>
      <c r="J177" s="8">
        <v>367.969</v>
      </c>
      <c r="K177" s="8">
        <v>295.33</v>
      </c>
      <c r="L177" s="8">
        <v>190.837</v>
      </c>
      <c r="M177" s="8">
        <v>268.321</v>
      </c>
      <c r="N177" s="8">
        <v>494.734</v>
      </c>
      <c r="O177" s="8">
        <v>746.246</v>
      </c>
      <c r="P177" s="8">
        <v>391.089</v>
      </c>
      <c r="Q177" s="8">
        <v>392.664</v>
      </c>
    </row>
    <row r="178" spans="1:17" ht="15">
      <c r="A178" s="75" t="s">
        <v>368</v>
      </c>
      <c r="B178" s="14">
        <v>36</v>
      </c>
      <c r="C178" s="45">
        <v>562.87</v>
      </c>
      <c r="D178" s="8">
        <v>578.654</v>
      </c>
      <c r="E178" s="8">
        <v>502.033</v>
      </c>
      <c r="F178" s="8">
        <v>500.633</v>
      </c>
      <c r="G178" s="8">
        <v>451.689</v>
      </c>
      <c r="H178" s="8">
        <v>308.345</v>
      </c>
      <c r="I178" s="8"/>
      <c r="J178" s="8">
        <v>381.095</v>
      </c>
      <c r="K178" s="8">
        <v>288.697</v>
      </c>
      <c r="L178" s="8">
        <v>190.11</v>
      </c>
      <c r="M178" s="8">
        <v>273.034</v>
      </c>
      <c r="N178" s="8">
        <v>511.749</v>
      </c>
      <c r="O178" s="8">
        <v>763.333</v>
      </c>
      <c r="P178" s="8">
        <v>394.62</v>
      </c>
      <c r="Q178" s="8">
        <v>396.177</v>
      </c>
    </row>
    <row r="179" spans="1:17" ht="15">
      <c r="A179" s="75" t="s">
        <v>369</v>
      </c>
      <c r="B179" s="14">
        <v>40</v>
      </c>
      <c r="C179" s="45">
        <v>566.62</v>
      </c>
      <c r="D179" s="8">
        <v>582.404</v>
      </c>
      <c r="E179" s="8">
        <v>504.283</v>
      </c>
      <c r="F179" s="8">
        <v>502.883</v>
      </c>
      <c r="G179" s="8">
        <v>452.689</v>
      </c>
      <c r="H179" s="8">
        <v>308.595</v>
      </c>
      <c r="I179" s="8"/>
      <c r="J179" s="8">
        <v>381.845</v>
      </c>
      <c r="K179" s="8">
        <v>289.447</v>
      </c>
      <c r="L179" s="8">
        <v>190.61</v>
      </c>
      <c r="M179" s="8">
        <v>273.784</v>
      </c>
      <c r="N179" s="8">
        <v>513.999</v>
      </c>
      <c r="O179" s="8">
        <v>767.083</v>
      </c>
      <c r="P179" s="8">
        <v>395.12</v>
      </c>
      <c r="Q179" s="8">
        <v>396.677</v>
      </c>
    </row>
    <row r="180" spans="1:17" ht="15">
      <c r="A180" s="75" t="s">
        <v>370</v>
      </c>
      <c r="B180" s="14">
        <v>59</v>
      </c>
      <c r="C180" s="45">
        <v>568.343</v>
      </c>
      <c r="D180" s="8">
        <v>585.194</v>
      </c>
      <c r="E180" s="8">
        <v>536.613</v>
      </c>
      <c r="F180" s="8">
        <v>529.955</v>
      </c>
      <c r="G180" s="8">
        <v>485.399</v>
      </c>
      <c r="H180" s="8">
        <v>327.705</v>
      </c>
      <c r="I180" s="8"/>
      <c r="J180" s="8">
        <v>405.352</v>
      </c>
      <c r="K180" s="8">
        <v>299.384</v>
      </c>
      <c r="L180" s="8">
        <v>197.904</v>
      </c>
      <c r="M180" s="8">
        <v>270.58</v>
      </c>
      <c r="N180" s="8">
        <v>546.709</v>
      </c>
      <c r="O180" s="8">
        <v>771.91</v>
      </c>
      <c r="P180" s="8">
        <v>400.013</v>
      </c>
      <c r="Q180" s="8">
        <v>401.56</v>
      </c>
    </row>
    <row r="181" spans="1:17" ht="15">
      <c r="A181" s="75" t="s">
        <v>372</v>
      </c>
      <c r="B181" s="14">
        <v>74</v>
      </c>
      <c r="C181" s="45">
        <v>622.218</v>
      </c>
      <c r="D181" s="8">
        <v>639.212</v>
      </c>
      <c r="E181" s="8">
        <v>575.191</v>
      </c>
      <c r="F181" s="8">
        <v>562.243</v>
      </c>
      <c r="G181" s="8">
        <v>524.624</v>
      </c>
      <c r="H181" s="8">
        <v>362.255</v>
      </c>
      <c r="I181" s="8"/>
      <c r="J181" s="8">
        <v>438.653</v>
      </c>
      <c r="K181" s="8">
        <v>278.273</v>
      </c>
      <c r="L181" s="8">
        <v>219.364</v>
      </c>
      <c r="M181" s="8">
        <v>278.273</v>
      </c>
      <c r="N181" s="8">
        <v>585.934</v>
      </c>
      <c r="O181" s="8">
        <v>811.654</v>
      </c>
      <c r="P181" s="8">
        <v>452.541</v>
      </c>
      <c r="Q181" s="8">
        <v>454.047</v>
      </c>
    </row>
    <row r="182" spans="1:17" ht="15">
      <c r="A182" s="75" t="s">
        <v>373</v>
      </c>
      <c r="B182" s="14">
        <v>95</v>
      </c>
      <c r="C182" s="45">
        <v>644.944</v>
      </c>
      <c r="D182" s="8">
        <v>666.951</v>
      </c>
      <c r="E182" s="8">
        <v>589.372</v>
      </c>
      <c r="F182" s="8">
        <v>577.32</v>
      </c>
      <c r="G182" s="8">
        <v>536.739</v>
      </c>
      <c r="H182" s="8">
        <v>377.142</v>
      </c>
      <c r="I182" s="8"/>
      <c r="J182" s="8">
        <v>453.645</v>
      </c>
      <c r="K182" s="8">
        <v>366.19</v>
      </c>
      <c r="L182" s="8">
        <v>239.747</v>
      </c>
      <c r="M182" s="8">
        <v>279.742</v>
      </c>
      <c r="N182" s="8">
        <v>598.049</v>
      </c>
      <c r="O182" s="8">
        <v>839.158</v>
      </c>
      <c r="P182" s="8">
        <v>471.541</v>
      </c>
      <c r="Q182" s="8">
        <v>473.594</v>
      </c>
    </row>
    <row r="183" spans="1:17" ht="15">
      <c r="A183" s="75" t="s">
        <v>374</v>
      </c>
      <c r="B183" s="14">
        <v>98</v>
      </c>
      <c r="C183" s="45">
        <v>647.694</v>
      </c>
      <c r="D183" s="8">
        <v>669.701</v>
      </c>
      <c r="E183" s="8">
        <v>590.872</v>
      </c>
      <c r="F183" s="8">
        <v>590.872</v>
      </c>
      <c r="G183" s="8">
        <v>537.489</v>
      </c>
      <c r="H183" s="8">
        <v>377.392</v>
      </c>
      <c r="I183" s="8"/>
      <c r="J183" s="8">
        <v>454.145</v>
      </c>
      <c r="K183" s="8">
        <v>366.69</v>
      </c>
      <c r="L183" s="8">
        <v>240.247</v>
      </c>
      <c r="M183" s="8">
        <v>280.242</v>
      </c>
      <c r="N183" s="8">
        <v>599.549</v>
      </c>
      <c r="O183" s="8">
        <v>841.908</v>
      </c>
      <c r="P183" s="8">
        <v>472.041</v>
      </c>
      <c r="Q183" s="8">
        <v>474.094</v>
      </c>
    </row>
    <row r="184" spans="1:17" ht="15">
      <c r="A184" s="75" t="s">
        <v>375</v>
      </c>
      <c r="B184" s="14">
        <v>112</v>
      </c>
      <c r="C184" s="45">
        <v>683.872</v>
      </c>
      <c r="D184" s="8">
        <v>698.604</v>
      </c>
      <c r="E184" s="8">
        <v>584.695</v>
      </c>
      <c r="F184" s="8">
        <v>573.391</v>
      </c>
      <c r="G184" s="8">
        <v>538.736</v>
      </c>
      <c r="H184" s="8">
        <v>371.342</v>
      </c>
      <c r="I184" s="8"/>
      <c r="J184" s="8">
        <v>448.438</v>
      </c>
      <c r="K184" s="8">
        <v>392.455</v>
      </c>
      <c r="L184" s="8">
        <v>254.105</v>
      </c>
      <c r="M184" s="8">
        <v>299.624</v>
      </c>
      <c r="N184" s="8">
        <v>600.796</v>
      </c>
      <c r="O184" s="8">
        <v>903.766</v>
      </c>
      <c r="P184" s="8">
        <v>503.308</v>
      </c>
      <c r="Q184" s="8">
        <v>504.817</v>
      </c>
    </row>
    <row r="185" spans="1:17" ht="15">
      <c r="A185" s="75" t="s">
        <v>376</v>
      </c>
      <c r="B185" s="14">
        <v>134</v>
      </c>
      <c r="C185" s="45">
        <v>648.92</v>
      </c>
      <c r="D185" s="8">
        <v>670.584</v>
      </c>
      <c r="E185" s="8">
        <v>611.002</v>
      </c>
      <c r="F185" s="8">
        <v>600.964</v>
      </c>
      <c r="G185" s="8">
        <v>531.722</v>
      </c>
      <c r="H185" s="8">
        <v>379.691</v>
      </c>
      <c r="I185" s="8"/>
      <c r="J185" s="8">
        <v>452.516</v>
      </c>
      <c r="K185" s="8">
        <v>372.781</v>
      </c>
      <c r="L185" s="8">
        <v>255.693</v>
      </c>
      <c r="M185" s="8">
        <v>300.315</v>
      </c>
      <c r="N185" s="8">
        <v>606.922</v>
      </c>
      <c r="O185" s="8">
        <v>904.555</v>
      </c>
      <c r="P185" s="8">
        <v>445.857</v>
      </c>
      <c r="Q185" s="8">
        <v>448.281</v>
      </c>
    </row>
    <row r="186" spans="1:17" ht="15">
      <c r="A186" s="75" t="s">
        <v>377</v>
      </c>
      <c r="B186" s="14">
        <v>155</v>
      </c>
      <c r="C186" s="45">
        <v>641.188</v>
      </c>
      <c r="D186" s="8">
        <v>663.864</v>
      </c>
      <c r="E186" s="8">
        <v>593.666</v>
      </c>
      <c r="F186" s="8">
        <v>581.537</v>
      </c>
      <c r="G186" s="8">
        <v>509.5</v>
      </c>
      <c r="H186" s="8">
        <v>372.51</v>
      </c>
      <c r="I186" s="8"/>
      <c r="J186" s="8">
        <v>438.571</v>
      </c>
      <c r="K186" s="8">
        <v>357.053</v>
      </c>
      <c r="L186" s="8">
        <v>246.679</v>
      </c>
      <c r="M186" s="8">
        <v>295.951</v>
      </c>
      <c r="N186" s="8">
        <v>584.7</v>
      </c>
      <c r="O186" s="8">
        <v>894.535</v>
      </c>
      <c r="P186" s="8">
        <v>425.55</v>
      </c>
      <c r="Q186" s="8">
        <v>427.687</v>
      </c>
    </row>
    <row r="187" spans="1:17" ht="15">
      <c r="A187" s="75" t="s">
        <v>378</v>
      </c>
      <c r="B187" s="14">
        <v>178</v>
      </c>
      <c r="C187" s="45">
        <v>643.938</v>
      </c>
      <c r="D187" s="8">
        <v>666.864</v>
      </c>
      <c r="E187" s="8">
        <v>595.416</v>
      </c>
      <c r="F187" s="8">
        <v>583.287</v>
      </c>
      <c r="G187" s="8">
        <v>510.25</v>
      </c>
      <c r="H187" s="8">
        <v>372.76</v>
      </c>
      <c r="I187" s="8"/>
      <c r="J187" s="8">
        <v>439.071</v>
      </c>
      <c r="K187" s="8">
        <v>357.553</v>
      </c>
      <c r="L187" s="8">
        <v>247.179</v>
      </c>
      <c r="M187" s="8">
        <v>296.451</v>
      </c>
      <c r="N187" s="8">
        <v>586.45</v>
      </c>
      <c r="O187" s="8">
        <v>897.285</v>
      </c>
      <c r="P187" s="8">
        <v>426.05</v>
      </c>
      <c r="Q187" s="8">
        <v>428.187</v>
      </c>
    </row>
    <row r="188" spans="1:17" ht="15">
      <c r="A188" s="75" t="s">
        <v>379</v>
      </c>
      <c r="B188" s="14">
        <v>181</v>
      </c>
      <c r="C188" s="45">
        <v>599.113</v>
      </c>
      <c r="D188" s="8">
        <v>622.917</v>
      </c>
      <c r="E188" s="8">
        <v>555.871</v>
      </c>
      <c r="F188" s="8">
        <v>519.278</v>
      </c>
      <c r="G188" s="8">
        <v>475.581</v>
      </c>
      <c r="H188" s="8">
        <v>339.559</v>
      </c>
      <c r="I188" s="8"/>
      <c r="J188" s="8">
        <v>405.382</v>
      </c>
      <c r="K188" s="8">
        <v>310.188</v>
      </c>
      <c r="L188" s="8">
        <v>216.493</v>
      </c>
      <c r="M188" s="8">
        <v>278.559</v>
      </c>
      <c r="N188" s="8">
        <v>550.467</v>
      </c>
      <c r="O188" s="8">
        <v>817.7867</v>
      </c>
      <c r="P188" s="8">
        <v>385.426</v>
      </c>
      <c r="Q188" s="8">
        <v>389.306</v>
      </c>
    </row>
    <row r="189" spans="1:17" ht="15">
      <c r="A189" s="75" t="s">
        <v>381</v>
      </c>
      <c r="B189" s="14">
        <v>248</v>
      </c>
      <c r="C189" s="45">
        <v>584.195</v>
      </c>
      <c r="D189" s="8">
        <v>605.294</v>
      </c>
      <c r="E189" s="8">
        <v>573.228</v>
      </c>
      <c r="F189" s="8">
        <v>540.969</v>
      </c>
      <c r="G189" s="8">
        <v>487.61</v>
      </c>
      <c r="H189" s="8">
        <v>357.788</v>
      </c>
      <c r="I189" s="8"/>
      <c r="J189" s="8">
        <v>425.475</v>
      </c>
      <c r="K189" s="8">
        <v>314.457</v>
      </c>
      <c r="L189" s="8">
        <v>221.648</v>
      </c>
      <c r="M189" s="8">
        <v>273.091</v>
      </c>
      <c r="N189" s="8">
        <v>562.745</v>
      </c>
      <c r="O189" s="8">
        <v>799.566</v>
      </c>
      <c r="P189" s="8">
        <v>380.502</v>
      </c>
      <c r="Q189" s="8">
        <v>388.042</v>
      </c>
    </row>
    <row r="190" spans="1:17" ht="15">
      <c r="A190" s="75" t="s">
        <v>382</v>
      </c>
      <c r="B190" s="14">
        <v>23</v>
      </c>
      <c r="C190" s="45">
        <v>549.873</v>
      </c>
      <c r="D190" s="8">
        <v>564.746</v>
      </c>
      <c r="E190" s="8">
        <v>523.955</v>
      </c>
      <c r="F190" s="8">
        <v>504.218</v>
      </c>
      <c r="G190" s="8">
        <v>466.805</v>
      </c>
      <c r="H190" s="8">
        <v>343.676</v>
      </c>
      <c r="I190" s="8"/>
      <c r="J190" s="8">
        <v>405.805</v>
      </c>
      <c r="K190" s="8">
        <v>339.881</v>
      </c>
      <c r="L190" s="8">
        <v>227.78</v>
      </c>
      <c r="M190" s="8">
        <v>270.284</v>
      </c>
      <c r="N190" s="8">
        <v>526.03</v>
      </c>
      <c r="O190" s="8">
        <v>688.586</v>
      </c>
      <c r="P190" s="8">
        <v>376.953</v>
      </c>
      <c r="Q190" s="8">
        <v>378.997</v>
      </c>
    </row>
    <row r="191" spans="1:17" ht="15">
      <c r="A191" s="75" t="s">
        <v>383</v>
      </c>
      <c r="B191" s="14">
        <v>58</v>
      </c>
      <c r="C191" s="7">
        <v>655.445</v>
      </c>
      <c r="D191" s="7">
        <v>673.504</v>
      </c>
      <c r="E191" s="7">
        <v>594.32</v>
      </c>
      <c r="F191" s="7">
        <v>575.754</v>
      </c>
      <c r="G191" s="7">
        <v>541.511</v>
      </c>
      <c r="H191" s="7">
        <v>412.081</v>
      </c>
      <c r="I191" s="7"/>
      <c r="J191" s="7">
        <v>473.348</v>
      </c>
      <c r="K191" s="7">
        <v>373.844</v>
      </c>
      <c r="L191" s="7">
        <v>252.61</v>
      </c>
      <c r="M191" s="7">
        <v>277.554</v>
      </c>
      <c r="N191" s="7">
        <v>603.051</v>
      </c>
      <c r="O191" s="7">
        <v>797.413</v>
      </c>
      <c r="P191" s="7">
        <v>469.87</v>
      </c>
      <c r="Q191" s="7">
        <v>472.38</v>
      </c>
    </row>
    <row r="192" spans="1:17" ht="15">
      <c r="A192" s="75" t="s">
        <v>384</v>
      </c>
      <c r="B192" s="14">
        <v>81</v>
      </c>
      <c r="C192" s="45">
        <v>683.98</v>
      </c>
      <c r="D192" s="8">
        <v>695.85</v>
      </c>
      <c r="E192" s="8">
        <v>616.503</v>
      </c>
      <c r="F192" s="8">
        <v>591.876</v>
      </c>
      <c r="G192" s="8">
        <v>556.835</v>
      </c>
      <c r="H192" s="8">
        <v>428.45</v>
      </c>
      <c r="I192" s="8"/>
      <c r="J192" s="8">
        <v>489.581</v>
      </c>
      <c r="K192" s="8">
        <v>382.139</v>
      </c>
      <c r="L192" s="8">
        <v>258.737</v>
      </c>
      <c r="M192" s="8">
        <v>274.189</v>
      </c>
      <c r="N192" s="8">
        <v>618.375</v>
      </c>
      <c r="O192" s="8">
        <v>805.618</v>
      </c>
      <c r="P192" s="8">
        <v>473.8</v>
      </c>
      <c r="Q192" s="8">
        <v>475.32</v>
      </c>
    </row>
    <row r="193" spans="1:17" ht="15">
      <c r="A193" s="75" t="s">
        <v>386</v>
      </c>
      <c r="B193" s="14">
        <v>131</v>
      </c>
      <c r="C193" s="45">
        <v>646.222</v>
      </c>
      <c r="D193" s="8">
        <v>692.079</v>
      </c>
      <c r="E193" s="8">
        <v>553.09</v>
      </c>
      <c r="F193" s="8">
        <v>512.351</v>
      </c>
      <c r="G193" s="8">
        <v>484.625</v>
      </c>
      <c r="H193" s="8">
        <v>353.319</v>
      </c>
      <c r="I193" s="8"/>
      <c r="J193" s="8">
        <v>418.509</v>
      </c>
      <c r="K193" s="8">
        <v>399.567</v>
      </c>
      <c r="L193" s="8">
        <v>256.878</v>
      </c>
      <c r="M193" s="8">
        <v>201.625</v>
      </c>
      <c r="N193" s="8">
        <v>553.145</v>
      </c>
      <c r="O193" s="8">
        <v>827.99</v>
      </c>
      <c r="P193" s="8">
        <v>423.917</v>
      </c>
      <c r="Q193" s="8">
        <v>425.451</v>
      </c>
    </row>
    <row r="194" spans="1:17" ht="15">
      <c r="A194" s="75" t="s">
        <v>388</v>
      </c>
      <c r="B194" s="14">
        <v>157</v>
      </c>
      <c r="C194" s="45">
        <v>630.178</v>
      </c>
      <c r="D194" s="8">
        <v>671.96</v>
      </c>
      <c r="E194" s="8">
        <v>558.647</v>
      </c>
      <c r="F194" s="8">
        <v>506.122</v>
      </c>
      <c r="G194" s="8">
        <v>486.815</v>
      </c>
      <c r="H194" s="8">
        <v>338.047</v>
      </c>
      <c r="I194" s="8"/>
      <c r="J194" s="8">
        <v>408.232</v>
      </c>
      <c r="K194" s="8">
        <v>369.867</v>
      </c>
      <c r="L194" s="8">
        <v>239.103</v>
      </c>
      <c r="M194" s="8">
        <v>192.391</v>
      </c>
      <c r="N194" s="8">
        <v>555.335</v>
      </c>
      <c r="O194" s="8">
        <v>809.837</v>
      </c>
      <c r="P194" s="8">
        <v>386.204</v>
      </c>
      <c r="Q194" s="8">
        <v>391.295</v>
      </c>
    </row>
    <row r="195" spans="1:17" ht="15">
      <c r="A195" s="75" t="s">
        <v>389</v>
      </c>
      <c r="B195" s="14">
        <v>168</v>
      </c>
      <c r="C195" s="45">
        <v>633.928</v>
      </c>
      <c r="D195" s="8">
        <v>675.96</v>
      </c>
      <c r="E195" s="8">
        <v>560.897</v>
      </c>
      <c r="F195" s="8">
        <v>508.372</v>
      </c>
      <c r="G195" s="8">
        <v>487.815</v>
      </c>
      <c r="H195" s="8">
        <v>338.297</v>
      </c>
      <c r="I195" s="8"/>
      <c r="J195" s="8">
        <v>408.982</v>
      </c>
      <c r="K195" s="8">
        <v>370.617</v>
      </c>
      <c r="L195" s="8">
        <v>239.603</v>
      </c>
      <c r="M195" s="8">
        <v>193.141</v>
      </c>
      <c r="N195" s="8">
        <v>557.582</v>
      </c>
      <c r="O195" s="8">
        <v>813.587</v>
      </c>
      <c r="P195" s="8">
        <v>386.704</v>
      </c>
      <c r="Q195" s="8">
        <v>391.795</v>
      </c>
    </row>
    <row r="196" spans="1:17" ht="15">
      <c r="A196" s="75" t="s">
        <v>390</v>
      </c>
      <c r="B196" s="14">
        <v>186</v>
      </c>
      <c r="C196" s="45">
        <v>667.543</v>
      </c>
      <c r="D196" s="8">
        <v>705.761</v>
      </c>
      <c r="E196" s="8">
        <v>585.899</v>
      </c>
      <c r="F196" s="8">
        <v>534.201</v>
      </c>
      <c r="G196" s="8">
        <v>517.501</v>
      </c>
      <c r="H196" s="8">
        <v>363.91</v>
      </c>
      <c r="I196" s="8"/>
      <c r="J196" s="8">
        <v>434.714</v>
      </c>
      <c r="K196" s="8">
        <v>359.51</v>
      </c>
      <c r="L196" s="8">
        <v>235.692</v>
      </c>
      <c r="M196" s="8">
        <v>203.969</v>
      </c>
      <c r="N196" s="8">
        <v>587.271</v>
      </c>
      <c r="O196" s="8">
        <v>881.804</v>
      </c>
      <c r="P196" s="8">
        <v>427.943</v>
      </c>
      <c r="Q196" s="8">
        <v>433.016</v>
      </c>
    </row>
    <row r="197" spans="1:17" ht="15">
      <c r="A197" s="75" t="s">
        <v>391</v>
      </c>
      <c r="B197" s="14">
        <v>205</v>
      </c>
      <c r="C197" s="45">
        <v>697.927</v>
      </c>
      <c r="D197" s="8">
        <v>735.618</v>
      </c>
      <c r="E197" s="8">
        <v>618.27</v>
      </c>
      <c r="F197" s="8">
        <v>571.268</v>
      </c>
      <c r="G197" s="8">
        <v>546.134</v>
      </c>
      <c r="H197" s="8">
        <v>384.753</v>
      </c>
      <c r="I197" s="8"/>
      <c r="J197" s="8">
        <v>464.517</v>
      </c>
      <c r="K197" s="8">
        <v>364.298</v>
      </c>
      <c r="L197" s="8">
        <v>240.264</v>
      </c>
      <c r="M197" s="8">
        <v>217.942</v>
      </c>
      <c r="N197" s="8">
        <v>615.904</v>
      </c>
      <c r="O197" s="8">
        <v>902.168</v>
      </c>
      <c r="P197" s="8">
        <v>483.883</v>
      </c>
      <c r="Q197" s="8">
        <v>488.48</v>
      </c>
    </row>
    <row r="198" spans="1:17" ht="15">
      <c r="A198" s="75" t="s">
        <v>392</v>
      </c>
      <c r="B198" s="14">
        <v>218</v>
      </c>
      <c r="C198" s="45">
        <v>685.605</v>
      </c>
      <c r="D198" s="8">
        <v>718.601</v>
      </c>
      <c r="E198" s="8">
        <v>616.515</v>
      </c>
      <c r="F198" s="8">
        <v>571.068</v>
      </c>
      <c r="G198" s="8">
        <v>537.186</v>
      </c>
      <c r="H198" s="8">
        <v>368.478</v>
      </c>
      <c r="I198" s="8"/>
      <c r="J198" s="8">
        <v>457.121</v>
      </c>
      <c r="K198" s="8">
        <v>365.538</v>
      </c>
      <c r="L198" s="8">
        <v>239.477</v>
      </c>
      <c r="M198" s="8">
        <v>213.782</v>
      </c>
      <c r="N198" s="8">
        <v>606.956</v>
      </c>
      <c r="O198" s="8">
        <v>898.197</v>
      </c>
      <c r="P198" s="8">
        <v>463.646</v>
      </c>
      <c r="Q198" s="8">
        <v>470.591</v>
      </c>
    </row>
    <row r="199" spans="1:17" ht="15">
      <c r="A199" s="75" t="s">
        <v>393</v>
      </c>
      <c r="B199" s="14">
        <v>227</v>
      </c>
      <c r="C199" s="45">
        <v>614.432</v>
      </c>
      <c r="D199" s="8">
        <v>637.618</v>
      </c>
      <c r="E199" s="8">
        <v>589.746</v>
      </c>
      <c r="F199" s="8">
        <v>546.061</v>
      </c>
      <c r="G199" s="8">
        <v>508.253</v>
      </c>
      <c r="H199" s="8">
        <v>355.313</v>
      </c>
      <c r="I199" s="8"/>
      <c r="J199" s="8">
        <v>437.415</v>
      </c>
      <c r="K199" s="8">
        <v>363.592</v>
      </c>
      <c r="L199" s="8">
        <v>237.191</v>
      </c>
      <c r="M199" s="8">
        <v>227</v>
      </c>
      <c r="N199" s="8">
        <v>578.023</v>
      </c>
      <c r="O199" s="8">
        <v>885.015</v>
      </c>
      <c r="P199" s="8">
        <v>441.778</v>
      </c>
      <c r="Q199" s="8">
        <v>442.054</v>
      </c>
    </row>
    <row r="200" spans="1:17" ht="15">
      <c r="A200" s="75" t="s">
        <v>394</v>
      </c>
      <c r="B200" s="3">
        <v>248</v>
      </c>
      <c r="C200" s="45">
        <v>592.109</v>
      </c>
      <c r="D200" s="8">
        <v>624.753</v>
      </c>
      <c r="E200" s="8">
        <v>581.269</v>
      </c>
      <c r="F200" s="8">
        <v>570.453</v>
      </c>
      <c r="G200" s="8">
        <v>508.127</v>
      </c>
      <c r="H200" s="8">
        <v>359.899</v>
      </c>
      <c r="I200" s="8"/>
      <c r="J200" s="8">
        <v>436.541</v>
      </c>
      <c r="K200" s="8">
        <v>356.487</v>
      </c>
      <c r="L200" s="8">
        <v>235.368</v>
      </c>
      <c r="M200" s="8">
        <v>210.504</v>
      </c>
      <c r="N200" s="8">
        <v>582.057</v>
      </c>
      <c r="O200" s="8">
        <v>927.648</v>
      </c>
      <c r="P200" s="8">
        <v>452.869</v>
      </c>
      <c r="Q200" s="8">
        <v>452.869</v>
      </c>
    </row>
    <row r="201" spans="1:17" ht="15">
      <c r="A201" s="72" t="s">
        <v>396</v>
      </c>
      <c r="B201" s="14">
        <v>25</v>
      </c>
      <c r="C201" s="7">
        <v>627.344</v>
      </c>
      <c r="D201" s="7">
        <v>667.067</v>
      </c>
      <c r="E201" s="7">
        <v>589.889</v>
      </c>
      <c r="F201" s="7">
        <v>581.067</v>
      </c>
      <c r="G201" s="7">
        <v>523.294</v>
      </c>
      <c r="H201" s="7">
        <v>369.819</v>
      </c>
      <c r="I201" s="7"/>
      <c r="J201" s="7">
        <v>446.845</v>
      </c>
      <c r="K201" s="7">
        <v>345.412</v>
      </c>
      <c r="L201" s="7">
        <v>229.951</v>
      </c>
      <c r="M201" s="7">
        <v>218.1</v>
      </c>
      <c r="N201" s="7">
        <v>597.224</v>
      </c>
      <c r="O201" s="7">
        <v>931.439</v>
      </c>
      <c r="P201" s="7">
        <v>466.151</v>
      </c>
      <c r="Q201" s="7">
        <v>466.151</v>
      </c>
    </row>
    <row r="202" spans="1:17" ht="15">
      <c r="A202" s="75" t="s">
        <v>397</v>
      </c>
      <c r="B202" s="14">
        <v>39</v>
      </c>
      <c r="C202" s="45">
        <v>627.844</v>
      </c>
      <c r="D202" s="8">
        <v>667.817</v>
      </c>
      <c r="E202" s="8">
        <v>590.139</v>
      </c>
      <c r="F202" s="8">
        <v>581.317</v>
      </c>
      <c r="G202" s="8">
        <v>523.544</v>
      </c>
      <c r="H202" s="8">
        <v>369.819</v>
      </c>
      <c r="I202" s="8"/>
      <c r="J202" s="8">
        <v>446.845</v>
      </c>
      <c r="K202" s="8">
        <v>345.412</v>
      </c>
      <c r="L202" s="8">
        <v>229.951</v>
      </c>
      <c r="M202" s="8">
        <v>218.1</v>
      </c>
      <c r="N202" s="8">
        <v>597.474</v>
      </c>
      <c r="O202" s="8">
        <v>931.939</v>
      </c>
      <c r="P202" s="8">
        <v>466.151</v>
      </c>
      <c r="Q202" s="8">
        <v>466.151</v>
      </c>
    </row>
    <row r="203" spans="1:17" ht="15">
      <c r="A203" s="76" t="s">
        <v>399</v>
      </c>
      <c r="B203" s="14">
        <v>42</v>
      </c>
      <c r="C203" s="45">
        <v>642.801</v>
      </c>
      <c r="D203" s="8">
        <v>684.623</v>
      </c>
      <c r="E203" s="8">
        <v>605.194</v>
      </c>
      <c r="F203" s="8">
        <v>594.442</v>
      </c>
      <c r="G203" s="8">
        <v>543.419</v>
      </c>
      <c r="H203" s="8">
        <v>378.172</v>
      </c>
      <c r="I203" s="8"/>
      <c r="J203" s="8">
        <v>457.833</v>
      </c>
      <c r="K203" s="8">
        <v>347.525</v>
      </c>
      <c r="L203" s="8">
        <v>231.892</v>
      </c>
      <c r="M203" s="8">
        <v>213.895</v>
      </c>
      <c r="N203" s="8">
        <v>617.349</v>
      </c>
      <c r="O203" s="8">
        <v>937.31</v>
      </c>
      <c r="P203" s="8">
        <v>480.291</v>
      </c>
      <c r="Q203" s="8">
        <v>480.291</v>
      </c>
    </row>
    <row r="204" spans="1:17" ht="15">
      <c r="A204" s="76" t="s">
        <v>400</v>
      </c>
      <c r="B204" s="14">
        <v>59</v>
      </c>
      <c r="C204" s="45">
        <v>646.051</v>
      </c>
      <c r="D204" s="8">
        <v>688.123</v>
      </c>
      <c r="E204" s="8">
        <v>607.194</v>
      </c>
      <c r="F204" s="8">
        <v>596.442</v>
      </c>
      <c r="G204" s="8">
        <v>544.419</v>
      </c>
      <c r="H204" s="8">
        <v>378.422</v>
      </c>
      <c r="I204" s="8"/>
      <c r="J204" s="8">
        <v>458.583</v>
      </c>
      <c r="K204" s="8">
        <v>348.275</v>
      </c>
      <c r="L204" s="8">
        <v>232.392</v>
      </c>
      <c r="M204" s="8">
        <v>214.645</v>
      </c>
      <c r="N204" s="8">
        <v>619.349</v>
      </c>
      <c r="O204" s="8">
        <v>940.56</v>
      </c>
      <c r="P204" s="8">
        <v>480.791</v>
      </c>
      <c r="Q204" s="8">
        <v>480.791</v>
      </c>
    </row>
    <row r="205" spans="1:17" s="4" customFormat="1" ht="15">
      <c r="A205" s="77" t="s">
        <v>398</v>
      </c>
      <c r="B205" s="14">
        <v>64</v>
      </c>
      <c r="C205" s="45">
        <v>670.508</v>
      </c>
      <c r="D205" s="8">
        <v>716.888</v>
      </c>
      <c r="E205" s="8">
        <v>599.508</v>
      </c>
      <c r="F205" s="8">
        <v>580.238</v>
      </c>
      <c r="G205" s="8">
        <v>525.863</v>
      </c>
      <c r="H205" s="8">
        <v>367.411</v>
      </c>
      <c r="I205" s="8"/>
      <c r="J205" s="8">
        <v>444.705</v>
      </c>
      <c r="K205" s="8">
        <v>354.371</v>
      </c>
      <c r="L205" s="8">
        <v>234.798</v>
      </c>
      <c r="M205" s="8">
        <v>201.869</v>
      </c>
      <c r="N205" s="8">
        <v>600.793</v>
      </c>
      <c r="O205" s="8">
        <v>946.673</v>
      </c>
      <c r="P205" s="8">
        <v>500.254</v>
      </c>
      <c r="Q205" s="8">
        <v>500.254</v>
      </c>
    </row>
    <row r="206" spans="1:17" s="4" customFormat="1" ht="15">
      <c r="A206" s="77" t="s">
        <v>401</v>
      </c>
      <c r="B206" s="14">
        <v>82</v>
      </c>
      <c r="C206" s="45">
        <v>648.937</v>
      </c>
      <c r="D206" s="8">
        <v>688.117</v>
      </c>
      <c r="E206" s="8">
        <v>587.631</v>
      </c>
      <c r="F206" s="8">
        <v>561.448</v>
      </c>
      <c r="G206" s="8">
        <v>507.998</v>
      </c>
      <c r="H206" s="8">
        <v>362.625</v>
      </c>
      <c r="I206" s="8"/>
      <c r="J206" s="8">
        <v>432.184</v>
      </c>
      <c r="K206" s="8">
        <v>358.117</v>
      </c>
      <c r="L206" s="8">
        <v>236.457</v>
      </c>
      <c r="M206" s="8">
        <v>202.629</v>
      </c>
      <c r="N206" s="8">
        <v>582.928</v>
      </c>
      <c r="O206" s="8">
        <v>929.498</v>
      </c>
      <c r="P206" s="8">
        <v>415.29</v>
      </c>
      <c r="Q206" s="8">
        <v>415.29</v>
      </c>
    </row>
    <row r="207" spans="1:17" s="4" customFormat="1" ht="15">
      <c r="A207" s="77" t="s">
        <v>402</v>
      </c>
      <c r="B207" s="14">
        <v>95</v>
      </c>
      <c r="C207" s="45">
        <v>654.187</v>
      </c>
      <c r="D207" s="8">
        <v>693.617</v>
      </c>
      <c r="E207" s="8">
        <v>590.881</v>
      </c>
      <c r="F207" s="8">
        <v>564.698</v>
      </c>
      <c r="G207" s="8">
        <v>509.498</v>
      </c>
      <c r="H207" s="8">
        <v>363.125</v>
      </c>
      <c r="I207" s="8"/>
      <c r="J207" s="8">
        <v>433.184</v>
      </c>
      <c r="K207" s="8">
        <v>359.117</v>
      </c>
      <c r="L207" s="8">
        <v>237.207</v>
      </c>
      <c r="M207" s="8">
        <v>203.629</v>
      </c>
      <c r="N207" s="8">
        <v>586.178</v>
      </c>
      <c r="O207" s="8">
        <v>934.748</v>
      </c>
      <c r="P207" s="8">
        <v>416.04</v>
      </c>
      <c r="Q207" s="8">
        <v>416.04</v>
      </c>
    </row>
    <row r="208" spans="1:17" s="4" customFormat="1" ht="15">
      <c r="A208" s="74" t="s">
        <v>403</v>
      </c>
      <c r="B208" s="14">
        <v>103</v>
      </c>
      <c r="C208" s="45">
        <v>651.584</v>
      </c>
      <c r="D208" s="8">
        <v>691.649</v>
      </c>
      <c r="E208" s="8">
        <v>568.918</v>
      </c>
      <c r="F208" s="8">
        <v>542.551</v>
      </c>
      <c r="G208" s="8">
        <v>478.345</v>
      </c>
      <c r="H208" s="8">
        <v>356.185</v>
      </c>
      <c r="I208" s="8"/>
      <c r="J208" s="8">
        <v>417.845</v>
      </c>
      <c r="K208" s="8">
        <v>355.064</v>
      </c>
      <c r="L208" s="8">
        <v>234.31</v>
      </c>
      <c r="M208" s="8">
        <v>199.874</v>
      </c>
      <c r="N208" s="8">
        <v>555.025</v>
      </c>
      <c r="O208" s="8">
        <v>936.812</v>
      </c>
      <c r="P208" s="8">
        <v>394.489</v>
      </c>
      <c r="Q208" s="8">
        <v>395.455</v>
      </c>
    </row>
    <row r="209" spans="1:17" s="4" customFormat="1" ht="15">
      <c r="A209" s="74" t="s">
        <v>405</v>
      </c>
      <c r="B209" s="14">
        <v>111</v>
      </c>
      <c r="C209" s="45">
        <v>651.552</v>
      </c>
      <c r="D209" s="8">
        <v>691.616</v>
      </c>
      <c r="E209" s="8">
        <v>568.886</v>
      </c>
      <c r="F209" s="8">
        <v>542.52</v>
      </c>
      <c r="G209" s="8">
        <v>478.314</v>
      </c>
      <c r="H209" s="8">
        <v>356.16</v>
      </c>
      <c r="I209" s="8"/>
      <c r="J209" s="8">
        <v>417.817</v>
      </c>
      <c r="K209" s="8">
        <v>355.041</v>
      </c>
      <c r="L209" s="8">
        <v>234.294</v>
      </c>
      <c r="M209" s="8">
        <v>195.275</v>
      </c>
      <c r="N209" s="8">
        <v>554.994</v>
      </c>
      <c r="O209" s="8">
        <v>936.756</v>
      </c>
      <c r="P209" s="8">
        <v>394.462</v>
      </c>
      <c r="Q209" s="8">
        <v>395.428</v>
      </c>
    </row>
    <row r="210" spans="1:17" ht="15">
      <c r="A210" s="78" t="s">
        <v>406</v>
      </c>
      <c r="B210" s="14">
        <v>119</v>
      </c>
      <c r="C210" s="45">
        <v>651.552</v>
      </c>
      <c r="D210" s="8">
        <v>691.616</v>
      </c>
      <c r="E210" s="8">
        <v>568.886</v>
      </c>
      <c r="F210" s="8">
        <v>542.52</v>
      </c>
      <c r="G210" s="8">
        <v>478.314</v>
      </c>
      <c r="H210" s="8">
        <v>356.16</v>
      </c>
      <c r="I210" s="8"/>
      <c r="J210" s="8">
        <v>417.817</v>
      </c>
      <c r="K210" s="8">
        <v>355.041</v>
      </c>
      <c r="L210" s="8">
        <v>234.294</v>
      </c>
      <c r="M210" s="8">
        <v>195.275</v>
      </c>
      <c r="N210" s="8">
        <v>564.877</v>
      </c>
      <c r="O210" s="8">
        <v>940.138</v>
      </c>
      <c r="P210" s="8">
        <v>394.462</v>
      </c>
      <c r="Q210" s="8">
        <v>395.428</v>
      </c>
    </row>
    <row r="211" spans="1:17" ht="15">
      <c r="A211" s="78" t="s">
        <v>407</v>
      </c>
      <c r="B211" s="14">
        <v>124</v>
      </c>
      <c r="C211" s="45">
        <v>651.552</v>
      </c>
      <c r="D211" s="8">
        <v>691.616</v>
      </c>
      <c r="E211" s="8">
        <v>568.886</v>
      </c>
      <c r="F211" s="8">
        <v>542.52</v>
      </c>
      <c r="G211" s="8">
        <v>478.314</v>
      </c>
      <c r="H211" s="8">
        <v>356.16</v>
      </c>
      <c r="I211" s="8"/>
      <c r="J211" s="8">
        <v>417.817</v>
      </c>
      <c r="K211" s="8">
        <v>355.041</v>
      </c>
      <c r="L211" s="8">
        <v>234.294</v>
      </c>
      <c r="M211" s="8">
        <v>195.275</v>
      </c>
      <c r="N211" s="8">
        <v>574.543</v>
      </c>
      <c r="O211" s="8">
        <v>937.982</v>
      </c>
      <c r="P211" s="8">
        <v>394.462</v>
      </c>
      <c r="Q211" s="8">
        <v>395.428</v>
      </c>
    </row>
    <row r="212" spans="1:17" ht="15">
      <c r="A212" s="78" t="s">
        <v>408</v>
      </c>
      <c r="B212" s="14">
        <v>129</v>
      </c>
      <c r="C212" s="45">
        <v>651.798</v>
      </c>
      <c r="D212" s="8">
        <v>684.391</v>
      </c>
      <c r="E212" s="8">
        <v>556.235</v>
      </c>
      <c r="F212" s="8">
        <v>545.335</v>
      </c>
      <c r="G212" s="8">
        <v>483.436</v>
      </c>
      <c r="H212" s="8">
        <v>350.956</v>
      </c>
      <c r="I212" s="8"/>
      <c r="J212" s="8">
        <v>417.293</v>
      </c>
      <c r="K212" s="8">
        <v>348.327</v>
      </c>
      <c r="L212" s="8">
        <v>231.633</v>
      </c>
      <c r="M212" s="8">
        <v>192.686</v>
      </c>
      <c r="N212" s="8">
        <v>549.536</v>
      </c>
      <c r="O212" s="8">
        <v>967.98</v>
      </c>
      <c r="P212" s="8">
        <v>378.199</v>
      </c>
      <c r="Q212" s="8">
        <v>385.377</v>
      </c>
    </row>
    <row r="213" spans="1:17" ht="15">
      <c r="A213" s="78" t="s">
        <v>409</v>
      </c>
      <c r="B213" s="14">
        <v>148</v>
      </c>
      <c r="C213" s="45">
        <v>652.838</v>
      </c>
      <c r="D213" s="8">
        <v>683.52</v>
      </c>
      <c r="E213" s="8">
        <v>567.782</v>
      </c>
      <c r="F213" s="8">
        <v>556.037</v>
      </c>
      <c r="G213" s="8">
        <v>494.265</v>
      </c>
      <c r="H213" s="8">
        <v>351.71</v>
      </c>
      <c r="I213" s="8"/>
      <c r="J213" s="8">
        <v>423.127</v>
      </c>
      <c r="K213" s="8">
        <v>345.328</v>
      </c>
      <c r="L213" s="8">
        <v>230.114</v>
      </c>
      <c r="M213" s="8">
        <v>191.784</v>
      </c>
      <c r="N213" s="8">
        <v>560.865</v>
      </c>
      <c r="O213" s="8">
        <v>961.555</v>
      </c>
      <c r="P213" s="8">
        <v>398.503</v>
      </c>
      <c r="Q213" s="8">
        <v>402.746</v>
      </c>
    </row>
    <row r="214" spans="1:17" ht="15">
      <c r="A214" s="78" t="s">
        <v>410</v>
      </c>
      <c r="B214" s="14">
        <v>168</v>
      </c>
      <c r="C214" s="45">
        <v>674.167</v>
      </c>
      <c r="D214" s="8">
        <v>700.132</v>
      </c>
      <c r="E214" s="8">
        <v>577.625</v>
      </c>
      <c r="F214" s="8">
        <v>565.287</v>
      </c>
      <c r="G214" s="8">
        <v>507.961</v>
      </c>
      <c r="H214" s="8">
        <v>355.169</v>
      </c>
      <c r="I214" s="8"/>
      <c r="J214" s="8">
        <v>429.784</v>
      </c>
      <c r="K214" s="8">
        <v>344.922</v>
      </c>
      <c r="L214" s="8">
        <v>230.201</v>
      </c>
      <c r="M214" s="8">
        <v>202.709</v>
      </c>
      <c r="N214" s="8">
        <v>574.561</v>
      </c>
      <c r="O214" s="8">
        <v>969.414</v>
      </c>
      <c r="P214" s="8">
        <v>423.525</v>
      </c>
      <c r="Q214" s="8">
        <v>428.324</v>
      </c>
    </row>
    <row r="215" spans="1:17" ht="15">
      <c r="A215" s="78" t="s">
        <v>411</v>
      </c>
      <c r="B215" s="14">
        <v>188</v>
      </c>
      <c r="C215" s="45">
        <v>673.71</v>
      </c>
      <c r="D215" s="8">
        <v>697.221</v>
      </c>
      <c r="E215" s="8">
        <v>578.79</v>
      </c>
      <c r="F215" s="8">
        <v>565.286</v>
      </c>
      <c r="G215" s="8">
        <v>508.394</v>
      </c>
      <c r="H215" s="8">
        <v>357.27</v>
      </c>
      <c r="I215" s="8"/>
      <c r="J215" s="8">
        <v>430.194</v>
      </c>
      <c r="K215" s="8">
        <v>341.456</v>
      </c>
      <c r="L215" s="8">
        <v>230.612</v>
      </c>
      <c r="M215" s="8">
        <v>203.415</v>
      </c>
      <c r="N215" s="8">
        <v>566.97</v>
      </c>
      <c r="O215" s="8">
        <v>872.865</v>
      </c>
      <c r="P215" s="8">
        <v>423.525</v>
      </c>
      <c r="Q215" s="8">
        <v>428.734</v>
      </c>
    </row>
    <row r="216" spans="1:17" ht="15">
      <c r="A216" s="78" t="s">
        <v>412</v>
      </c>
      <c r="B216" s="14">
        <v>190</v>
      </c>
      <c r="C216" s="45">
        <v>646.628</v>
      </c>
      <c r="D216" s="8">
        <v>665.813</v>
      </c>
      <c r="E216" s="8">
        <v>594.231</v>
      </c>
      <c r="F216" s="8">
        <v>586.694</v>
      </c>
      <c r="G216" s="8">
        <v>522.402</v>
      </c>
      <c r="H216" s="8">
        <v>371.22</v>
      </c>
      <c r="I216" s="8"/>
      <c r="J216" s="8">
        <v>448.263</v>
      </c>
      <c r="K216" s="8">
        <v>348.753</v>
      </c>
      <c r="L216" s="8">
        <v>235.96</v>
      </c>
      <c r="M216" s="8">
        <v>226.907</v>
      </c>
      <c r="N216" s="8">
        <v>580.979</v>
      </c>
      <c r="O216" s="8">
        <v>865.596</v>
      </c>
      <c r="P216" s="8">
        <v>425.114</v>
      </c>
      <c r="Q216" s="8">
        <v>428.398</v>
      </c>
    </row>
    <row r="217" spans="1:17" ht="15">
      <c r="A217" s="78" t="s">
        <v>413</v>
      </c>
      <c r="B217" s="14">
        <v>210</v>
      </c>
      <c r="C217" s="45">
        <v>619.176</v>
      </c>
      <c r="D217" s="8">
        <v>636.484</v>
      </c>
      <c r="E217" s="8">
        <v>576.647</v>
      </c>
      <c r="F217" s="8">
        <v>574.541</v>
      </c>
      <c r="G217" s="8">
        <v>505.508</v>
      </c>
      <c r="H217" s="8">
        <v>365.505</v>
      </c>
      <c r="I217" s="8"/>
      <c r="J217" s="8">
        <v>438.926</v>
      </c>
      <c r="K217" s="8">
        <v>346.869</v>
      </c>
      <c r="L217" s="8">
        <v>234.376</v>
      </c>
      <c r="M217" s="8">
        <v>225.463</v>
      </c>
      <c r="N217" s="8">
        <v>563.653</v>
      </c>
      <c r="O217" s="8">
        <v>855.798</v>
      </c>
      <c r="P217" s="8">
        <v>413.825</v>
      </c>
      <c r="Q217" s="8">
        <v>415.908</v>
      </c>
    </row>
    <row r="218" spans="1:17" ht="15">
      <c r="A218" s="78" t="s">
        <v>414</v>
      </c>
      <c r="B218" s="14">
        <v>228</v>
      </c>
      <c r="C218" s="45">
        <v>620.426</v>
      </c>
      <c r="D218" s="8">
        <v>637.734</v>
      </c>
      <c r="E218" s="8">
        <v>577.397</v>
      </c>
      <c r="F218" s="8">
        <v>575.291</v>
      </c>
      <c r="G218" s="8">
        <v>505.758</v>
      </c>
      <c r="H218" s="8">
        <v>365.505</v>
      </c>
      <c r="I218" s="8"/>
      <c r="J218" s="8">
        <v>439.176</v>
      </c>
      <c r="K218" s="8">
        <v>347.119</v>
      </c>
      <c r="L218" s="8">
        <v>234.626</v>
      </c>
      <c r="M218" s="8">
        <v>225.713</v>
      </c>
      <c r="N218" s="8">
        <v>564.403</v>
      </c>
      <c r="O218" s="8">
        <v>857.048</v>
      </c>
      <c r="P218" s="8">
        <v>414.075</v>
      </c>
      <c r="Q218" s="8">
        <v>416.158</v>
      </c>
    </row>
    <row r="219" spans="1:17" ht="15">
      <c r="A219" s="78" t="s">
        <v>415</v>
      </c>
      <c r="B219" s="14">
        <v>231</v>
      </c>
      <c r="C219" s="45">
        <v>595.832</v>
      </c>
      <c r="D219" s="8">
        <v>612.395</v>
      </c>
      <c r="E219" s="8">
        <v>563.846</v>
      </c>
      <c r="F219" s="8">
        <v>564.649</v>
      </c>
      <c r="G219" s="8">
        <v>498.23</v>
      </c>
      <c r="H219" s="8">
        <v>357.476</v>
      </c>
      <c r="I219" s="8"/>
      <c r="J219" s="8">
        <v>429.651</v>
      </c>
      <c r="K219" s="8">
        <v>334.604</v>
      </c>
      <c r="L219" s="8">
        <v>226.931</v>
      </c>
      <c r="M219" s="8">
        <v>235.114</v>
      </c>
      <c r="N219" s="8">
        <v>557.101</v>
      </c>
      <c r="O219" s="8">
        <v>865.861</v>
      </c>
      <c r="P219" s="8">
        <v>411.135</v>
      </c>
      <c r="Q219" s="8">
        <v>412.998</v>
      </c>
    </row>
    <row r="220" spans="1:17" ht="15">
      <c r="A220" s="78" t="s">
        <v>417</v>
      </c>
      <c r="B220" s="14">
        <v>14</v>
      </c>
      <c r="C220" s="45">
        <v>592.67</v>
      </c>
      <c r="D220" s="8">
        <v>616.921</v>
      </c>
      <c r="E220" s="8">
        <v>577.414</v>
      </c>
      <c r="F220" s="8">
        <v>571.808</v>
      </c>
      <c r="G220" s="8">
        <v>506.842</v>
      </c>
      <c r="H220" s="8">
        <v>344.523</v>
      </c>
      <c r="I220" s="8"/>
      <c r="J220" s="8">
        <v>431.921</v>
      </c>
      <c r="K220" s="8">
        <v>327.583</v>
      </c>
      <c r="L220" s="8">
        <v>221.225</v>
      </c>
      <c r="M220" s="8">
        <v>246.443</v>
      </c>
      <c r="N220" s="8">
        <v>579.444</v>
      </c>
      <c r="O220" s="8">
        <v>920.861</v>
      </c>
      <c r="P220" s="8">
        <v>433.428</v>
      </c>
      <c r="Q220" s="8">
        <v>435.099</v>
      </c>
    </row>
    <row r="221" spans="1:17" ht="15">
      <c r="A221" s="78" t="s">
        <v>419</v>
      </c>
      <c r="B221" s="14">
        <v>26</v>
      </c>
      <c r="C221" s="7">
        <v>606.963</v>
      </c>
      <c r="D221" s="8">
        <v>630.479</v>
      </c>
      <c r="E221" s="8">
        <v>575.65</v>
      </c>
      <c r="F221" s="8">
        <v>567.971</v>
      </c>
      <c r="G221" s="8">
        <v>510.108</v>
      </c>
      <c r="H221" s="8">
        <v>340.802</v>
      </c>
      <c r="I221" s="8"/>
      <c r="J221" s="8">
        <v>428.062</v>
      </c>
      <c r="K221" s="8">
        <v>324.119</v>
      </c>
      <c r="L221" s="8">
        <v>219.112</v>
      </c>
      <c r="M221" s="8">
        <v>246.255</v>
      </c>
      <c r="N221" s="8">
        <v>582.935</v>
      </c>
      <c r="O221" s="8">
        <v>922.404</v>
      </c>
      <c r="P221" s="8">
        <v>448.824</v>
      </c>
      <c r="Q221" s="8">
        <v>450.373</v>
      </c>
    </row>
    <row r="222" spans="1:17" s="4" customFormat="1" ht="15">
      <c r="A222" s="77" t="s">
        <v>421</v>
      </c>
      <c r="B222" s="3">
        <v>31</v>
      </c>
      <c r="C222" s="7">
        <v>606.713</v>
      </c>
      <c r="D222" s="7">
        <v>633.975</v>
      </c>
      <c r="E222" s="8">
        <v>575.65</v>
      </c>
      <c r="F222" s="8">
        <v>567.971</v>
      </c>
      <c r="G222" s="8">
        <v>510.108</v>
      </c>
      <c r="H222" s="8">
        <v>340.802</v>
      </c>
      <c r="I222" s="8"/>
      <c r="J222" s="8">
        <v>428.062</v>
      </c>
      <c r="K222" s="8">
        <v>324.119</v>
      </c>
      <c r="L222" s="8">
        <v>219.112</v>
      </c>
      <c r="M222" s="8">
        <v>246.255</v>
      </c>
      <c r="N222" s="8">
        <v>582.935</v>
      </c>
      <c r="O222" s="7">
        <v>922.154</v>
      </c>
      <c r="P222" s="8">
        <v>448.824</v>
      </c>
      <c r="Q222" s="8">
        <v>450.373</v>
      </c>
    </row>
    <row r="223" spans="1:17" ht="15">
      <c r="A223" s="78" t="s">
        <v>422</v>
      </c>
      <c r="B223" s="14">
        <v>47</v>
      </c>
      <c r="C223" s="45">
        <v>632.399</v>
      </c>
      <c r="D223" s="8">
        <v>655.758</v>
      </c>
      <c r="E223" s="8">
        <v>594.811</v>
      </c>
      <c r="F223" s="8">
        <v>575.296</v>
      </c>
      <c r="G223" s="8">
        <v>524.715</v>
      </c>
      <c r="H223" s="8">
        <v>352.779</v>
      </c>
      <c r="I223" s="8"/>
      <c r="J223" s="8">
        <v>437.519</v>
      </c>
      <c r="K223" s="8">
        <v>341.372</v>
      </c>
      <c r="L223" s="8">
        <v>229.846</v>
      </c>
      <c r="M223" s="8">
        <v>290.796</v>
      </c>
      <c r="N223" s="8">
        <v>597.516</v>
      </c>
      <c r="O223" s="8">
        <v>951.879</v>
      </c>
      <c r="P223" s="8">
        <v>440.708</v>
      </c>
      <c r="Q223" s="8">
        <v>443.675</v>
      </c>
    </row>
    <row r="224" spans="1:17" ht="15">
      <c r="A224" s="77" t="s">
        <v>423</v>
      </c>
      <c r="B224" s="3">
        <v>67</v>
      </c>
      <c r="C224" s="7">
        <v>668.356</v>
      </c>
      <c r="D224" s="7">
        <v>701.356</v>
      </c>
      <c r="E224" s="7">
        <v>620.055</v>
      </c>
      <c r="F224" s="7">
        <v>606.981</v>
      </c>
      <c r="G224" s="7">
        <v>551.347</v>
      </c>
      <c r="H224" s="7">
        <v>370.837</v>
      </c>
      <c r="I224" s="7"/>
      <c r="J224" s="7">
        <v>463.268</v>
      </c>
      <c r="K224" s="7">
        <v>359.562</v>
      </c>
      <c r="L224" s="7">
        <v>241.866</v>
      </c>
      <c r="M224" s="7">
        <v>237.939</v>
      </c>
      <c r="N224" s="7">
        <v>624.311</v>
      </c>
      <c r="O224" s="7">
        <v>987.995</v>
      </c>
      <c r="P224" s="7">
        <v>469.255</v>
      </c>
      <c r="Q224" s="7">
        <v>471.08</v>
      </c>
    </row>
    <row r="225" spans="1:17" ht="15">
      <c r="A225" s="103" t="s">
        <v>424</v>
      </c>
      <c r="B225" s="10">
        <v>91</v>
      </c>
      <c r="C225" s="11">
        <v>696.887</v>
      </c>
      <c r="D225" s="11">
        <v>717.945</v>
      </c>
      <c r="E225" s="11">
        <v>619.332</v>
      </c>
      <c r="F225" s="11">
        <v>609.076</v>
      </c>
      <c r="G225" s="11">
        <v>546.029</v>
      </c>
      <c r="H225" s="11">
        <v>376.429</v>
      </c>
      <c r="I225" s="11"/>
      <c r="J225" s="11">
        <v>466.494</v>
      </c>
      <c r="K225" s="11">
        <v>374.722</v>
      </c>
      <c r="L225" s="11">
        <v>250.619</v>
      </c>
      <c r="M225" s="11">
        <v>240.727</v>
      </c>
      <c r="N225" s="11">
        <v>619.021</v>
      </c>
      <c r="O225" s="11">
        <v>1007.419</v>
      </c>
      <c r="P225" s="11">
        <v>471.434</v>
      </c>
      <c r="Q225" s="11">
        <v>473.174</v>
      </c>
    </row>
    <row r="226" spans="1:17" s="12" customFormat="1" ht="15">
      <c r="A226" s="77" t="s">
        <v>425</v>
      </c>
      <c r="B226" s="3">
        <v>96</v>
      </c>
      <c r="C226" s="7">
        <v>701.387</v>
      </c>
      <c r="D226" s="7">
        <v>722.695</v>
      </c>
      <c r="E226" s="7">
        <v>622.082</v>
      </c>
      <c r="F226" s="7">
        <v>611.826</v>
      </c>
      <c r="G226" s="7">
        <v>547.279</v>
      </c>
      <c r="H226" s="7">
        <v>376.929</v>
      </c>
      <c r="I226" s="7"/>
      <c r="J226" s="7">
        <v>467.494</v>
      </c>
      <c r="K226" s="7">
        <v>375.722</v>
      </c>
      <c r="L226" s="7">
        <v>251.369</v>
      </c>
      <c r="M226" s="7">
        <v>241.727</v>
      </c>
      <c r="N226" s="7">
        <v>621.771</v>
      </c>
      <c r="O226" s="7">
        <v>1011.919</v>
      </c>
      <c r="P226" s="7">
        <v>472.184</v>
      </c>
      <c r="Q226" s="7">
        <v>473.924</v>
      </c>
    </row>
    <row r="227" spans="1:17" ht="15">
      <c r="A227" s="78" t="s">
        <v>426</v>
      </c>
      <c r="B227" s="14">
        <v>101</v>
      </c>
      <c r="C227" s="8">
        <v>705.192</v>
      </c>
      <c r="D227" s="8">
        <v>731.121</v>
      </c>
      <c r="E227" s="8">
        <v>633.679</v>
      </c>
      <c r="F227" s="8">
        <v>620.896</v>
      </c>
      <c r="G227" s="8">
        <v>556.44</v>
      </c>
      <c r="H227" s="8">
        <v>390.093</v>
      </c>
      <c r="I227" s="8"/>
      <c r="J227" s="8">
        <v>478.574</v>
      </c>
      <c r="K227" s="8">
        <v>383.21</v>
      </c>
      <c r="L227" s="8">
        <v>256.564</v>
      </c>
      <c r="M227" s="8">
        <v>243.784</v>
      </c>
      <c r="N227" s="8">
        <v>630.881</v>
      </c>
      <c r="O227" s="8">
        <v>1021.353</v>
      </c>
      <c r="P227" s="8">
        <v>479.682</v>
      </c>
      <c r="Q227" s="8">
        <v>482.66</v>
      </c>
    </row>
    <row r="228" spans="1:17" ht="15">
      <c r="A228" s="78" t="s">
        <v>427</v>
      </c>
      <c r="B228" s="14">
        <v>112</v>
      </c>
      <c r="C228" s="8">
        <v>705.192</v>
      </c>
      <c r="D228" s="8">
        <v>731.121</v>
      </c>
      <c r="E228" s="8">
        <v>633.679</v>
      </c>
      <c r="F228" s="8">
        <v>620.896</v>
      </c>
      <c r="G228" s="8">
        <v>556.44</v>
      </c>
      <c r="H228" s="8">
        <v>390.093</v>
      </c>
      <c r="I228" s="8"/>
      <c r="J228" s="8">
        <v>478.574</v>
      </c>
      <c r="K228" s="8">
        <v>383.21</v>
      </c>
      <c r="L228" s="8">
        <v>256.564</v>
      </c>
      <c r="M228" s="8">
        <v>243.784</v>
      </c>
      <c r="N228" s="8">
        <v>630.881</v>
      </c>
      <c r="O228" s="8">
        <v>1021.353</v>
      </c>
      <c r="P228" s="8">
        <v>479.682</v>
      </c>
      <c r="Q228" s="8">
        <v>482.66</v>
      </c>
    </row>
    <row r="229" spans="1:17" ht="15">
      <c r="A229" s="77" t="s">
        <v>428</v>
      </c>
      <c r="B229" s="13">
        <v>127</v>
      </c>
      <c r="C229" s="7">
        <v>732.777</v>
      </c>
      <c r="D229" s="7">
        <v>760.711</v>
      </c>
      <c r="E229" s="7">
        <v>620.262</v>
      </c>
      <c r="F229" s="7">
        <v>604.858</v>
      </c>
      <c r="G229" s="7">
        <v>544.453</v>
      </c>
      <c r="H229" s="7">
        <v>392.559</v>
      </c>
      <c r="I229" s="7"/>
      <c r="J229" s="7">
        <v>470.114</v>
      </c>
      <c r="K229" s="7">
        <v>398.874</v>
      </c>
      <c r="L229" s="7">
        <v>262.19</v>
      </c>
      <c r="M229" s="7">
        <v>229.304</v>
      </c>
      <c r="N229" s="7">
        <v>617.601</v>
      </c>
      <c r="O229" s="7">
        <v>1046.403</v>
      </c>
      <c r="P229" s="7">
        <v>480.946</v>
      </c>
      <c r="Q229" s="7">
        <v>483.556</v>
      </c>
    </row>
    <row r="230" spans="1:17" ht="15">
      <c r="A230" s="77" t="s">
        <v>429</v>
      </c>
      <c r="B230" s="13">
        <v>146</v>
      </c>
      <c r="C230" s="7">
        <v>726.083</v>
      </c>
      <c r="D230" s="7">
        <v>754.518</v>
      </c>
      <c r="E230" s="7">
        <v>611.633</v>
      </c>
      <c r="F230" s="7">
        <v>589.732</v>
      </c>
      <c r="G230" s="7">
        <v>534.931</v>
      </c>
      <c r="H230" s="7">
        <v>378.492</v>
      </c>
      <c r="I230" s="7"/>
      <c r="J230" s="7">
        <v>455.566</v>
      </c>
      <c r="K230" s="7">
        <v>411.836</v>
      </c>
      <c r="L230" s="7">
        <v>268.054</v>
      </c>
      <c r="M230" s="7">
        <v>228.754</v>
      </c>
      <c r="N230" s="7">
        <v>608.154</v>
      </c>
      <c r="O230" s="7">
        <v>1023.153</v>
      </c>
      <c r="P230" s="7">
        <v>470.039</v>
      </c>
      <c r="Q230" s="7">
        <v>471.44</v>
      </c>
    </row>
    <row r="231" spans="1:17" ht="15">
      <c r="A231" s="78" t="s">
        <v>430</v>
      </c>
      <c r="B231" s="14">
        <v>164</v>
      </c>
      <c r="C231" s="8">
        <v>696.124</v>
      </c>
      <c r="D231" s="8">
        <v>717.843</v>
      </c>
      <c r="E231" s="8">
        <v>610.21</v>
      </c>
      <c r="F231" s="8">
        <v>591.201</v>
      </c>
      <c r="G231" s="8">
        <v>539.855</v>
      </c>
      <c r="H231" s="8">
        <v>372.437</v>
      </c>
      <c r="I231" s="8"/>
      <c r="J231" s="8">
        <v>453.598</v>
      </c>
      <c r="K231" s="8">
        <v>424.915</v>
      </c>
      <c r="L231" s="8">
        <v>274.983</v>
      </c>
      <c r="M231" s="8">
        <v>224.758</v>
      </c>
      <c r="N231" s="8">
        <v>613.291</v>
      </c>
      <c r="O231" s="8">
        <v>1031.829</v>
      </c>
      <c r="P231" s="8">
        <v>460.993</v>
      </c>
      <c r="Q231" s="8">
        <v>464.815</v>
      </c>
    </row>
    <row r="232" spans="1:17" ht="15">
      <c r="A232" s="78" t="s">
        <v>431</v>
      </c>
      <c r="B232" s="14">
        <v>180</v>
      </c>
      <c r="C232" s="8">
        <v>700.874</v>
      </c>
      <c r="D232" s="8">
        <v>722.843</v>
      </c>
      <c r="E232" s="8">
        <v>612.96</v>
      </c>
      <c r="F232" s="8">
        <v>593.951</v>
      </c>
      <c r="G232" s="8">
        <v>541.105</v>
      </c>
      <c r="H232" s="8">
        <v>372.937</v>
      </c>
      <c r="I232" s="8"/>
      <c r="J232" s="8">
        <v>454.598</v>
      </c>
      <c r="K232" s="8">
        <v>425.915</v>
      </c>
      <c r="L232" s="8">
        <v>275.733</v>
      </c>
      <c r="M232" s="8">
        <v>225.758</v>
      </c>
      <c r="N232" s="8">
        <v>616.041</v>
      </c>
      <c r="O232" s="8">
        <v>1036.579</v>
      </c>
      <c r="P232" s="8">
        <v>452.149</v>
      </c>
      <c r="Q232" s="8">
        <v>455.971</v>
      </c>
    </row>
    <row r="233" spans="1:17" ht="15">
      <c r="A233" s="78" t="s">
        <v>432</v>
      </c>
      <c r="B233" s="14">
        <v>189</v>
      </c>
      <c r="C233" s="8">
        <v>688.369</v>
      </c>
      <c r="D233" s="8">
        <v>721.19</v>
      </c>
      <c r="E233" s="8">
        <v>602.41</v>
      </c>
      <c r="F233" s="8">
        <v>579.133</v>
      </c>
      <c r="G233" s="8">
        <v>538.006</v>
      </c>
      <c r="H233" s="8">
        <v>370.835</v>
      </c>
      <c r="I233" s="8"/>
      <c r="J233" s="8">
        <v>445.481</v>
      </c>
      <c r="K233" s="8">
        <v>420.363</v>
      </c>
      <c r="L233" s="8">
        <v>272.522</v>
      </c>
      <c r="M233" s="8">
        <v>231.251</v>
      </c>
      <c r="N233" s="8">
        <v>612.688</v>
      </c>
      <c r="O233" s="8">
        <v>1037.908</v>
      </c>
      <c r="P233" s="8">
        <v>433.731</v>
      </c>
      <c r="Q233" s="8">
        <v>439.46</v>
      </c>
    </row>
    <row r="234" spans="1:17" ht="15">
      <c r="A234" s="78" t="s">
        <v>433</v>
      </c>
      <c r="B234" s="14">
        <v>208</v>
      </c>
      <c r="C234" s="8">
        <v>661.701</v>
      </c>
      <c r="D234" s="8">
        <v>698.951</v>
      </c>
      <c r="E234" s="8">
        <v>578.66</v>
      </c>
      <c r="F234" s="8">
        <v>561.481</v>
      </c>
      <c r="G234" s="8">
        <v>504.49</v>
      </c>
      <c r="H234" s="8">
        <v>347.466</v>
      </c>
      <c r="I234" s="8"/>
      <c r="J234" s="8">
        <v>425.058</v>
      </c>
      <c r="K234" s="8">
        <v>409.896</v>
      </c>
      <c r="L234" s="8">
        <v>264.279</v>
      </c>
      <c r="M234" s="8">
        <v>230.441</v>
      </c>
      <c r="N234" s="8">
        <v>579.061</v>
      </c>
      <c r="O234" s="8">
        <v>1045.689</v>
      </c>
      <c r="P234" s="8">
        <v>397.96</v>
      </c>
      <c r="Q234" s="8">
        <v>404.033</v>
      </c>
    </row>
    <row r="235" spans="1:17" ht="15">
      <c r="A235" s="78" t="s">
        <v>434</v>
      </c>
      <c r="B235" s="14">
        <v>215</v>
      </c>
      <c r="C235" s="8">
        <v>664.201</v>
      </c>
      <c r="D235" s="8">
        <v>701.701</v>
      </c>
      <c r="E235" s="8">
        <v>580.16</v>
      </c>
      <c r="F235" s="8">
        <v>562.981</v>
      </c>
      <c r="G235" s="8">
        <v>505.24</v>
      </c>
      <c r="H235" s="8">
        <v>347.716</v>
      </c>
      <c r="I235" s="8"/>
      <c r="J235" s="8">
        <v>425.558</v>
      </c>
      <c r="K235" s="8">
        <v>410.396</v>
      </c>
      <c r="L235" s="8">
        <v>264.779</v>
      </c>
      <c r="M235" s="8">
        <v>230.941</v>
      </c>
      <c r="N235" s="8">
        <v>580.561</v>
      </c>
      <c r="O235" s="8">
        <v>1048.189</v>
      </c>
      <c r="P235" s="8">
        <v>398.21</v>
      </c>
      <c r="Q235" s="8">
        <v>404.283</v>
      </c>
    </row>
    <row r="236" spans="1:17" ht="15">
      <c r="A236" s="78" t="s">
        <v>435</v>
      </c>
      <c r="B236" s="14">
        <v>234</v>
      </c>
      <c r="C236" s="8">
        <v>599.494</v>
      </c>
      <c r="D236" s="8">
        <v>633.298</v>
      </c>
      <c r="E236" s="8">
        <v>551.614</v>
      </c>
      <c r="F236" s="8">
        <v>522.358</v>
      </c>
      <c r="G236" s="8">
        <v>474.468</v>
      </c>
      <c r="H236" s="8">
        <v>293.581</v>
      </c>
      <c r="I236" s="8"/>
      <c r="J236" s="8">
        <v>379.267</v>
      </c>
      <c r="K236" s="8">
        <v>372.56</v>
      </c>
      <c r="L236" s="8">
        <v>239.056</v>
      </c>
      <c r="M236" s="8">
        <v>205.292</v>
      </c>
      <c r="N236" s="8">
        <v>549.499</v>
      </c>
      <c r="O236" s="8">
        <v>1059.843</v>
      </c>
      <c r="P236" s="8">
        <v>365.095</v>
      </c>
      <c r="Q236" s="8">
        <v>368.946</v>
      </c>
    </row>
    <row r="237" spans="1:17" ht="15">
      <c r="A237" s="78" t="s">
        <v>437</v>
      </c>
      <c r="B237" s="14">
        <v>9</v>
      </c>
      <c r="C237" s="8">
        <v>496.017</v>
      </c>
      <c r="D237" s="8">
        <v>524.443</v>
      </c>
      <c r="E237" s="8">
        <v>466.105</v>
      </c>
      <c r="F237" s="8">
        <v>443.9</v>
      </c>
      <c r="G237" s="8">
        <v>408.904</v>
      </c>
      <c r="H237" s="8">
        <v>251.112</v>
      </c>
      <c r="I237" s="8"/>
      <c r="J237" s="8">
        <v>314.055</v>
      </c>
      <c r="K237" s="8">
        <v>343.882</v>
      </c>
      <c r="L237" s="8">
        <v>220.213</v>
      </c>
      <c r="M237" s="8">
        <v>153.308</v>
      </c>
      <c r="N237" s="8">
        <v>473.224</v>
      </c>
      <c r="O237" s="8">
        <v>1120.026</v>
      </c>
      <c r="P237" s="8">
        <v>288.177</v>
      </c>
      <c r="Q237" s="8">
        <v>292.621</v>
      </c>
    </row>
    <row r="238" spans="1:17" ht="15">
      <c r="A238" s="78" t="s">
        <v>438</v>
      </c>
      <c r="B238" s="14">
        <v>18</v>
      </c>
      <c r="C238" s="8">
        <v>447.509</v>
      </c>
      <c r="D238" s="8">
        <v>481.163</v>
      </c>
      <c r="E238" s="8">
        <v>418.194</v>
      </c>
      <c r="F238" s="8">
        <v>407.982</v>
      </c>
      <c r="G238" s="8">
        <v>356.961</v>
      </c>
      <c r="H238" s="8">
        <v>206.512</v>
      </c>
      <c r="I238" s="8"/>
      <c r="J238" s="8">
        <v>274.244</v>
      </c>
      <c r="K238" s="8">
        <v>305.08</v>
      </c>
      <c r="L238" s="8">
        <v>194.291</v>
      </c>
      <c r="M238" s="8">
        <v>138.407</v>
      </c>
      <c r="N238" s="8">
        <v>421.336</v>
      </c>
      <c r="O238" s="8">
        <v>1164.019</v>
      </c>
      <c r="P238" s="8">
        <v>250.212</v>
      </c>
      <c r="Q238" s="8">
        <v>252.337</v>
      </c>
    </row>
    <row r="239" spans="1:17" ht="15">
      <c r="A239" s="78" t="s">
        <v>439</v>
      </c>
      <c r="B239" s="14">
        <v>25</v>
      </c>
      <c r="C239" s="8">
        <v>447.009</v>
      </c>
      <c r="D239" s="8">
        <v>480.663</v>
      </c>
      <c r="E239" s="8">
        <v>417.944</v>
      </c>
      <c r="F239" s="8">
        <v>407.732</v>
      </c>
      <c r="G239" s="8">
        <v>356.461</v>
      </c>
      <c r="H239" s="8">
        <v>206.512</v>
      </c>
      <c r="I239" s="8"/>
      <c r="J239" s="8">
        <v>274.244</v>
      </c>
      <c r="K239" s="8">
        <v>305.08</v>
      </c>
      <c r="L239" s="8">
        <v>194.291</v>
      </c>
      <c r="M239" s="8">
        <v>138.407</v>
      </c>
      <c r="N239" s="8">
        <v>421.086</v>
      </c>
      <c r="O239" s="8">
        <v>1163.519</v>
      </c>
      <c r="P239" s="8">
        <v>250.212</v>
      </c>
      <c r="Q239" s="8">
        <v>252.337</v>
      </c>
    </row>
    <row r="240" spans="1:17" ht="15">
      <c r="A240" s="78" t="s">
        <v>440</v>
      </c>
      <c r="B240" s="14">
        <v>47</v>
      </c>
      <c r="C240" s="8">
        <v>488.819</v>
      </c>
      <c r="D240" s="8">
        <v>514.648</v>
      </c>
      <c r="E240" s="8">
        <v>437.569</v>
      </c>
      <c r="F240" s="8">
        <v>428.055</v>
      </c>
      <c r="G240" s="8">
        <v>367.056</v>
      </c>
      <c r="H240" s="8">
        <v>223.802</v>
      </c>
      <c r="I240" s="8"/>
      <c r="J240" s="8">
        <v>293.206</v>
      </c>
      <c r="K240" s="8">
        <v>267.248</v>
      </c>
      <c r="L240" s="8">
        <v>174.683</v>
      </c>
      <c r="M240" s="8">
        <v>144.073</v>
      </c>
      <c r="N240" s="8">
        <v>431.65</v>
      </c>
      <c r="O240" s="8">
        <v>741.05</v>
      </c>
      <c r="P240" s="8">
        <v>308.185</v>
      </c>
      <c r="Q240" s="8">
        <v>310.454</v>
      </c>
    </row>
    <row r="241" spans="1:17" ht="15">
      <c r="A241" s="78" t="s">
        <v>442</v>
      </c>
      <c r="B241" s="14">
        <v>67</v>
      </c>
      <c r="C241" s="8">
        <v>518.408</v>
      </c>
      <c r="D241" s="8">
        <v>545.589</v>
      </c>
      <c r="E241" s="8">
        <v>444.509</v>
      </c>
      <c r="F241" s="8">
        <v>418.423</v>
      </c>
      <c r="G241" s="8">
        <v>370.046</v>
      </c>
      <c r="H241" s="8">
        <v>228.109</v>
      </c>
      <c r="I241" s="8"/>
      <c r="J241" s="8">
        <v>289.998</v>
      </c>
      <c r="K241" s="8">
        <v>258.967</v>
      </c>
      <c r="L241" s="8">
        <v>170.451</v>
      </c>
      <c r="M241" s="8">
        <v>149.548</v>
      </c>
      <c r="N241" s="8">
        <v>434.67</v>
      </c>
      <c r="O241" s="8">
        <v>788.155</v>
      </c>
      <c r="P241" s="8">
        <v>311.183</v>
      </c>
      <c r="Q241" s="8">
        <v>314.273</v>
      </c>
    </row>
    <row r="242" spans="1:17" ht="15">
      <c r="A242" s="78" t="s">
        <v>443</v>
      </c>
      <c r="B242" s="14">
        <v>82</v>
      </c>
      <c r="C242" s="8">
        <v>518.837</v>
      </c>
      <c r="D242" s="8">
        <v>543.819</v>
      </c>
      <c r="E242" s="8">
        <v>422.044</v>
      </c>
      <c r="F242" s="8">
        <v>409.543</v>
      </c>
      <c r="G242" s="8">
        <v>349.86</v>
      </c>
      <c r="H242" s="8">
        <v>218.613</v>
      </c>
      <c r="I242" s="8"/>
      <c r="J242" s="8">
        <v>278.711</v>
      </c>
      <c r="K242" s="8">
        <v>253.426</v>
      </c>
      <c r="L242" s="8">
        <v>166.767</v>
      </c>
      <c r="M242" s="8">
        <v>140.651</v>
      </c>
      <c r="N242" s="8">
        <v>414.532</v>
      </c>
      <c r="O242" s="8">
        <v>776.361</v>
      </c>
      <c r="P242" s="8">
        <v>295.953</v>
      </c>
      <c r="Q242" s="8">
        <v>302.281</v>
      </c>
    </row>
    <row r="243" spans="1:17" ht="15">
      <c r="A243" s="78" t="s">
        <v>445</v>
      </c>
      <c r="B243" s="14">
        <v>102</v>
      </c>
      <c r="C243" s="8">
        <v>554.314</v>
      </c>
      <c r="D243" s="8">
        <v>586.609</v>
      </c>
      <c r="E243" s="8">
        <v>457.78</v>
      </c>
      <c r="F243" s="8">
        <v>441.912</v>
      </c>
      <c r="G243" s="8">
        <v>384.764</v>
      </c>
      <c r="H243" s="8">
        <v>243.221</v>
      </c>
      <c r="I243" s="8"/>
      <c r="J243" s="8">
        <v>309.549</v>
      </c>
      <c r="K243" s="8">
        <v>248.457</v>
      </c>
      <c r="L243" s="8">
        <v>166.018</v>
      </c>
      <c r="M243" s="8">
        <v>140.549</v>
      </c>
      <c r="N243" s="8">
        <v>449.458</v>
      </c>
      <c r="O243" s="8">
        <v>803.271</v>
      </c>
      <c r="P243" s="8">
        <v>323.777</v>
      </c>
      <c r="Q243" s="8">
        <v>330.099</v>
      </c>
    </row>
    <row r="244" spans="1:17" ht="15">
      <c r="A244" s="78" t="s">
        <v>448</v>
      </c>
      <c r="B244" s="14">
        <v>127</v>
      </c>
      <c r="C244" s="8">
        <v>579.584</v>
      </c>
      <c r="D244" s="8">
        <v>615.515</v>
      </c>
      <c r="E244" s="8">
        <v>441.673</v>
      </c>
      <c r="F244" s="8">
        <v>429.639</v>
      </c>
      <c r="G244" s="8">
        <v>372.722</v>
      </c>
      <c r="H244" s="8">
        <v>216.282</v>
      </c>
      <c r="I244" s="8"/>
      <c r="J244" s="8">
        <v>302.03</v>
      </c>
      <c r="K244" s="8">
        <v>220.384</v>
      </c>
      <c r="L244" s="8">
        <v>169.963</v>
      </c>
      <c r="M244" s="8">
        <v>111.316</v>
      </c>
      <c r="N244" s="8">
        <v>427.811</v>
      </c>
      <c r="O244" s="8">
        <v>731.992</v>
      </c>
      <c r="P244" s="8">
        <v>340.468</v>
      </c>
      <c r="Q244" s="8">
        <v>348.345</v>
      </c>
    </row>
    <row r="245" spans="1:17" ht="15">
      <c r="A245" s="78" t="s">
        <v>449</v>
      </c>
      <c r="B245" s="14">
        <v>147</v>
      </c>
      <c r="C245" s="8">
        <v>582.63</v>
      </c>
      <c r="D245" s="8">
        <v>619.815</v>
      </c>
      <c r="E245" s="8">
        <v>420.745</v>
      </c>
      <c r="F245" s="8">
        <v>414.695</v>
      </c>
      <c r="G245" s="8">
        <v>349.341</v>
      </c>
      <c r="H245" s="8">
        <v>199.943</v>
      </c>
      <c r="I245" s="8"/>
      <c r="J245" s="8">
        <v>283.903</v>
      </c>
      <c r="K245" s="8">
        <v>237.808</v>
      </c>
      <c r="L245" s="8">
        <v>176.367</v>
      </c>
      <c r="M245" s="8">
        <v>106.632</v>
      </c>
      <c r="N245" s="8">
        <v>404.54</v>
      </c>
      <c r="O245" s="8">
        <v>743.769</v>
      </c>
      <c r="P245" s="8">
        <v>294.759</v>
      </c>
      <c r="Q245" s="8">
        <v>305.149</v>
      </c>
    </row>
    <row r="246" spans="1:17" ht="15">
      <c r="A246" s="77" t="s">
        <v>450</v>
      </c>
      <c r="B246" s="3">
        <v>152</v>
      </c>
      <c r="C246" s="7">
        <v>582.88</v>
      </c>
      <c r="D246" s="7">
        <v>620.065</v>
      </c>
      <c r="E246" s="8">
        <v>420.745</v>
      </c>
      <c r="F246" s="8">
        <v>414.695</v>
      </c>
      <c r="G246" s="8">
        <v>349.341</v>
      </c>
      <c r="H246" s="8">
        <v>199.943</v>
      </c>
      <c r="I246" s="8"/>
      <c r="J246" s="8">
        <v>283.903</v>
      </c>
      <c r="K246" s="8">
        <v>237.808</v>
      </c>
      <c r="L246" s="8">
        <v>176.367</v>
      </c>
      <c r="M246" s="8">
        <v>106.632</v>
      </c>
      <c r="N246" s="8">
        <v>404.54</v>
      </c>
      <c r="O246" s="7">
        <v>744.019</v>
      </c>
      <c r="P246" s="8">
        <v>294.759</v>
      </c>
      <c r="Q246" s="8">
        <v>305.149</v>
      </c>
    </row>
    <row r="247" spans="1:17" ht="15">
      <c r="A247" s="77" t="s">
        <v>451</v>
      </c>
      <c r="B247" s="3">
        <v>167</v>
      </c>
      <c r="C247" s="7">
        <v>585.881</v>
      </c>
      <c r="D247" s="7">
        <v>623.29</v>
      </c>
      <c r="E247" s="8">
        <v>423.225</v>
      </c>
      <c r="F247" s="8">
        <v>416.952</v>
      </c>
      <c r="G247" s="8">
        <v>351.705</v>
      </c>
      <c r="H247" s="8">
        <v>201.62</v>
      </c>
      <c r="I247" s="8"/>
      <c r="J247" s="8">
        <v>285.91</v>
      </c>
      <c r="K247" s="8">
        <v>239.691</v>
      </c>
      <c r="L247" s="8">
        <v>177.578</v>
      </c>
      <c r="M247" s="8">
        <v>107.2625</v>
      </c>
      <c r="N247" s="8">
        <v>406.907</v>
      </c>
      <c r="O247" s="7">
        <v>748.751</v>
      </c>
      <c r="P247" s="8">
        <v>296.937</v>
      </c>
      <c r="Q247" s="8">
        <v>307.427</v>
      </c>
    </row>
    <row r="248" spans="1:17" ht="15">
      <c r="A248" s="77" t="s">
        <v>452</v>
      </c>
      <c r="B248" s="3">
        <v>171</v>
      </c>
      <c r="C248" s="7">
        <v>546.84</v>
      </c>
      <c r="D248" s="7">
        <v>579.31</v>
      </c>
      <c r="E248" s="8">
        <v>394.93</v>
      </c>
      <c r="F248" s="8">
        <v>382.38</v>
      </c>
      <c r="G248" s="8">
        <v>326.05</v>
      </c>
      <c r="H248" s="8">
        <v>165.19</v>
      </c>
      <c r="I248" s="8"/>
      <c r="J248" s="8">
        <v>253.19</v>
      </c>
      <c r="K248" s="8">
        <v>245.72</v>
      </c>
      <c r="L248" s="8">
        <v>179.61</v>
      </c>
      <c r="M248" s="8">
        <v>107.2625</v>
      </c>
      <c r="N248" s="8">
        <v>381.32</v>
      </c>
      <c r="O248" s="7">
        <v>746.876</v>
      </c>
      <c r="P248" s="8">
        <v>259.29</v>
      </c>
      <c r="Q248" s="8">
        <v>262.94</v>
      </c>
    </row>
    <row r="249" spans="1:17" ht="15">
      <c r="A249" s="77" t="s">
        <v>453</v>
      </c>
      <c r="B249" s="3">
        <v>190</v>
      </c>
      <c r="C249" s="7">
        <v>483.58</v>
      </c>
      <c r="D249" s="7">
        <v>507.25</v>
      </c>
      <c r="E249" s="8">
        <v>402.2</v>
      </c>
      <c r="F249" s="8">
        <v>389.99</v>
      </c>
      <c r="G249" s="8">
        <v>332.21</v>
      </c>
      <c r="H249" s="8">
        <v>161.81</v>
      </c>
      <c r="I249" s="8"/>
      <c r="J249" s="8">
        <v>256.15</v>
      </c>
      <c r="K249" s="8">
        <v>250.53</v>
      </c>
      <c r="L249" s="8">
        <v>181.79</v>
      </c>
      <c r="M249" s="8">
        <v>122.53</v>
      </c>
      <c r="N249" s="8">
        <v>387.47</v>
      </c>
      <c r="O249" s="7">
        <v>673.33</v>
      </c>
      <c r="P249" s="8">
        <v>261.62</v>
      </c>
      <c r="Q249" s="8">
        <v>266.34</v>
      </c>
    </row>
    <row r="250" spans="1:17" ht="15">
      <c r="A250" s="77" t="s">
        <v>454</v>
      </c>
      <c r="B250" s="3">
        <v>204</v>
      </c>
      <c r="C250" s="7">
        <v>482.046</v>
      </c>
      <c r="D250" s="7">
        <v>505.91</v>
      </c>
      <c r="E250" s="8">
        <v>400.586</v>
      </c>
      <c r="F250" s="8">
        <v>388.77</v>
      </c>
      <c r="G250" s="8">
        <v>330.91</v>
      </c>
      <c r="H250" s="8">
        <v>161.03</v>
      </c>
      <c r="I250" s="8"/>
      <c r="J250" s="8">
        <v>255.11</v>
      </c>
      <c r="K250" s="8">
        <v>249.36</v>
      </c>
      <c r="L250" s="8">
        <v>181.06</v>
      </c>
      <c r="M250" s="8">
        <v>122.11</v>
      </c>
      <c r="N250" s="8">
        <v>386.17</v>
      </c>
      <c r="O250" s="7">
        <v>670.88</v>
      </c>
      <c r="P250" s="8">
        <v>260.51</v>
      </c>
      <c r="Q250" s="8">
        <v>265.2</v>
      </c>
    </row>
    <row r="251" spans="1:17" ht="15">
      <c r="A251" s="77" t="s">
        <v>455</v>
      </c>
      <c r="B251" s="3">
        <v>209</v>
      </c>
      <c r="C251" s="7">
        <v>481.9</v>
      </c>
      <c r="D251" s="7">
        <v>505.27</v>
      </c>
      <c r="E251" s="8">
        <v>393.34</v>
      </c>
      <c r="F251" s="8">
        <v>391.09</v>
      </c>
      <c r="G251" s="8">
        <v>328.81</v>
      </c>
      <c r="H251" s="8">
        <v>154.71</v>
      </c>
      <c r="I251" s="8"/>
      <c r="J251" s="8">
        <v>253.27</v>
      </c>
      <c r="K251" s="8">
        <v>216.48</v>
      </c>
      <c r="L251" s="8">
        <v>162.01</v>
      </c>
      <c r="M251" s="8">
        <v>133.67</v>
      </c>
      <c r="N251" s="8">
        <v>383.84</v>
      </c>
      <c r="O251" s="7">
        <v>665.62</v>
      </c>
      <c r="P251" s="8">
        <v>258.46</v>
      </c>
      <c r="Q251" s="8">
        <v>263</v>
      </c>
    </row>
    <row r="252" spans="1:17" ht="15">
      <c r="A252" s="78" t="s">
        <v>456</v>
      </c>
      <c r="B252" s="14">
        <v>216</v>
      </c>
      <c r="C252" s="8">
        <v>480.15</v>
      </c>
      <c r="D252" s="8">
        <v>503.27</v>
      </c>
      <c r="E252" s="8">
        <v>392.34</v>
      </c>
      <c r="F252" s="8">
        <v>390.09</v>
      </c>
      <c r="G252" s="8">
        <v>328.31</v>
      </c>
      <c r="H252" s="8">
        <v>154.46</v>
      </c>
      <c r="I252" s="8"/>
      <c r="J252" s="8">
        <v>253.02</v>
      </c>
      <c r="K252" s="8">
        <v>216.23</v>
      </c>
      <c r="L252" s="8">
        <v>161.76</v>
      </c>
      <c r="M252" s="8">
        <v>133.42</v>
      </c>
      <c r="N252" s="8">
        <v>382.84</v>
      </c>
      <c r="O252" s="8">
        <v>663.87</v>
      </c>
      <c r="P252" s="8">
        <v>258.21</v>
      </c>
      <c r="Q252" s="8">
        <v>262.75</v>
      </c>
    </row>
    <row r="253" spans="1:17" ht="15">
      <c r="A253" s="78" t="s">
        <v>458</v>
      </c>
      <c r="B253" s="14">
        <v>25</v>
      </c>
      <c r="C253" s="8">
        <v>479.9</v>
      </c>
      <c r="D253" s="8">
        <v>503.02</v>
      </c>
      <c r="E253" s="8">
        <v>392.09</v>
      </c>
      <c r="F253" s="8">
        <v>389.84</v>
      </c>
      <c r="G253" s="8">
        <v>328.31</v>
      </c>
      <c r="H253" s="8">
        <v>154.46</v>
      </c>
      <c r="I253" s="8"/>
      <c r="J253" s="8">
        <v>253.02</v>
      </c>
      <c r="K253" s="8">
        <v>216.23</v>
      </c>
      <c r="L253" s="8">
        <v>161.76</v>
      </c>
      <c r="M253" s="8">
        <v>133.42</v>
      </c>
      <c r="N253" s="8">
        <v>382.59</v>
      </c>
      <c r="O253" s="8">
        <v>663.62</v>
      </c>
      <c r="P253" s="8">
        <v>258.21</v>
      </c>
      <c r="Q253" s="8">
        <v>262.75</v>
      </c>
    </row>
    <row r="254" spans="1:17" ht="15">
      <c r="A254" s="78" t="s">
        <v>460</v>
      </c>
      <c r="B254" s="14">
        <v>28</v>
      </c>
      <c r="C254" s="7">
        <v>482.82</v>
      </c>
      <c r="D254" s="7">
        <v>502.9</v>
      </c>
      <c r="E254" s="7">
        <v>396.43</v>
      </c>
      <c r="F254" s="7">
        <v>351.94</v>
      </c>
      <c r="G254" s="7">
        <v>316.57</v>
      </c>
      <c r="H254" s="7">
        <v>158.38</v>
      </c>
      <c r="I254" s="7"/>
      <c r="J254" s="7">
        <v>262.77</v>
      </c>
      <c r="K254" s="7">
        <v>228.85</v>
      </c>
      <c r="L254" s="7">
        <v>149.55</v>
      </c>
      <c r="M254" s="7">
        <v>133.32</v>
      </c>
      <c r="N254" s="7">
        <v>430.22</v>
      </c>
      <c r="O254" s="7">
        <v>881.84</v>
      </c>
      <c r="P254" s="7">
        <v>258.21</v>
      </c>
      <c r="Q254" s="7">
        <v>257.21</v>
      </c>
    </row>
    <row r="255" spans="1:17" ht="15">
      <c r="A255" s="78" t="s">
        <v>461</v>
      </c>
      <c r="B255" s="14">
        <v>31</v>
      </c>
      <c r="C255" s="8">
        <v>368.01</v>
      </c>
      <c r="D255" s="8">
        <v>388.83</v>
      </c>
      <c r="E255" s="8">
        <v>289.29</v>
      </c>
      <c r="F255" s="8">
        <v>282.23</v>
      </c>
      <c r="G255" s="8">
        <v>256.24</v>
      </c>
      <c r="H255" s="8">
        <v>104.35</v>
      </c>
      <c r="I255" s="8">
        <v>139.29</v>
      </c>
      <c r="J255" s="8">
        <v>203.16</v>
      </c>
      <c r="K255" s="8">
        <v>282.59</v>
      </c>
      <c r="L255" s="8">
        <v>174.64</v>
      </c>
      <c r="M255" s="8">
        <v>114.61</v>
      </c>
      <c r="N255" s="8">
        <v>382.37</v>
      </c>
      <c r="O255" s="8">
        <v>678.97</v>
      </c>
      <c r="P255" s="8">
        <v>258.21</v>
      </c>
      <c r="Q255" s="8">
        <v>202.5</v>
      </c>
    </row>
    <row r="256" spans="1:52" ht="15">
      <c r="A256" s="78" t="s">
        <v>462</v>
      </c>
      <c r="B256" s="14">
        <v>65</v>
      </c>
      <c r="C256" s="8">
        <v>389.38</v>
      </c>
      <c r="D256" s="8">
        <v>406.79</v>
      </c>
      <c r="E256" s="8">
        <v>301.84</v>
      </c>
      <c r="F256" s="8">
        <v>290.02</v>
      </c>
      <c r="G256" s="8">
        <v>261.17</v>
      </c>
      <c r="H256" s="8">
        <v>109.73</v>
      </c>
      <c r="I256" s="8">
        <v>148.51</v>
      </c>
      <c r="J256" s="8">
        <v>209.43</v>
      </c>
      <c r="K256" s="8">
        <v>274.49</v>
      </c>
      <c r="L256" s="8">
        <v>170.6</v>
      </c>
      <c r="M256" s="8">
        <v>125.15</v>
      </c>
      <c r="N256" s="8">
        <v>387.05</v>
      </c>
      <c r="O256" s="8">
        <v>697.61</v>
      </c>
      <c r="P256" s="8">
        <v>258.21</v>
      </c>
      <c r="Q256" s="8">
        <v>233.42</v>
      </c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</row>
    <row r="257" spans="1:17" ht="15">
      <c r="A257" s="78" t="s">
        <v>463</v>
      </c>
      <c r="B257" s="14">
        <v>81</v>
      </c>
      <c r="C257" s="7">
        <v>427.7</v>
      </c>
      <c r="D257" s="7">
        <v>446.76</v>
      </c>
      <c r="E257" s="7">
        <v>292.49</v>
      </c>
      <c r="F257" s="7">
        <v>289.59</v>
      </c>
      <c r="G257" s="7">
        <v>261.15</v>
      </c>
      <c r="H257" s="7">
        <v>114.39</v>
      </c>
      <c r="I257" s="7">
        <v>150.11</v>
      </c>
      <c r="J257" s="7">
        <v>210.19</v>
      </c>
      <c r="K257" s="7">
        <v>269.66</v>
      </c>
      <c r="L257" s="7">
        <v>168.33</v>
      </c>
      <c r="M257" s="7">
        <v>123.39</v>
      </c>
      <c r="N257" s="7">
        <v>331.55</v>
      </c>
      <c r="O257" s="7">
        <v>789.74</v>
      </c>
      <c r="P257" s="7">
        <v>258.21</v>
      </c>
      <c r="Q257" s="7">
        <v>229.17</v>
      </c>
    </row>
    <row r="258" spans="1:17" ht="15">
      <c r="A258" s="78" t="s">
        <v>464</v>
      </c>
      <c r="B258" s="14">
        <v>86</v>
      </c>
      <c r="C258" s="7">
        <v>427.2</v>
      </c>
      <c r="D258" s="7">
        <v>446.01</v>
      </c>
      <c r="E258" s="7">
        <v>292.24</v>
      </c>
      <c r="F258" s="7">
        <v>289.34</v>
      </c>
      <c r="G258" s="7">
        <v>260.9</v>
      </c>
      <c r="H258" s="7">
        <v>114.39</v>
      </c>
      <c r="I258" s="7">
        <v>150.11</v>
      </c>
      <c r="J258" s="7">
        <v>210.19</v>
      </c>
      <c r="K258" s="7">
        <v>269.66</v>
      </c>
      <c r="L258" s="7">
        <v>168.33</v>
      </c>
      <c r="M258" s="7">
        <v>123.39</v>
      </c>
      <c r="N258" s="7">
        <v>331.3</v>
      </c>
      <c r="O258" s="7">
        <v>789.24</v>
      </c>
      <c r="P258" s="7">
        <v>258.21</v>
      </c>
      <c r="Q258" s="7">
        <v>229.17</v>
      </c>
    </row>
    <row r="259" spans="1:17" ht="15">
      <c r="A259" s="78" t="s">
        <v>486</v>
      </c>
      <c r="B259" s="3">
        <v>106</v>
      </c>
      <c r="C259" s="7">
        <v>442.11</v>
      </c>
      <c r="D259" s="7">
        <v>462.3</v>
      </c>
      <c r="E259" s="7">
        <v>323.85</v>
      </c>
      <c r="F259" s="7">
        <v>325</v>
      </c>
      <c r="G259" s="7">
        <v>287.21</v>
      </c>
      <c r="H259" s="7">
        <v>142.05</v>
      </c>
      <c r="I259" s="7">
        <v>182.99</v>
      </c>
      <c r="J259" s="7">
        <v>238.03</v>
      </c>
      <c r="K259" s="7">
        <v>167.08</v>
      </c>
      <c r="L259" s="7">
        <v>113.48</v>
      </c>
      <c r="M259" s="7">
        <v>135.77</v>
      </c>
      <c r="N259" s="7">
        <v>357.56</v>
      </c>
      <c r="O259" s="7">
        <v>803.36</v>
      </c>
      <c r="P259" s="7">
        <v>258.21</v>
      </c>
      <c r="Q259" s="7">
        <v>250.01</v>
      </c>
    </row>
    <row r="260" spans="1:17" ht="15">
      <c r="A260" s="78" t="s">
        <v>487</v>
      </c>
      <c r="B260" s="3">
        <v>126</v>
      </c>
      <c r="C260" s="7">
        <v>518.306</v>
      </c>
      <c r="D260" s="7">
        <v>546.11</v>
      </c>
      <c r="E260" s="7">
        <v>394.64</v>
      </c>
      <c r="F260" s="7">
        <v>350.72</v>
      </c>
      <c r="G260" s="7">
        <v>313.77</v>
      </c>
      <c r="H260" s="7">
        <v>159.39</v>
      </c>
      <c r="I260" s="7">
        <v>205.25</v>
      </c>
      <c r="J260" s="7">
        <v>261.14</v>
      </c>
      <c r="K260" s="7">
        <v>181.7</v>
      </c>
      <c r="L260" s="7">
        <v>122.11</v>
      </c>
      <c r="M260" s="7">
        <v>138.54</v>
      </c>
      <c r="N260" s="7">
        <v>475.59</v>
      </c>
      <c r="O260" s="7">
        <v>928.9</v>
      </c>
      <c r="P260" s="7">
        <v>261.956</v>
      </c>
      <c r="Q260" s="7">
        <v>250.11</v>
      </c>
    </row>
    <row r="261" spans="1:17" s="115" customFormat="1" ht="15">
      <c r="A261" s="119" t="s">
        <v>489</v>
      </c>
      <c r="B261" s="120">
        <v>146</v>
      </c>
      <c r="C261" s="121">
        <v>505.69</v>
      </c>
      <c r="D261" s="121">
        <v>532.9</v>
      </c>
      <c r="E261" s="121">
        <v>391.21</v>
      </c>
      <c r="F261" s="121">
        <v>347.09</v>
      </c>
      <c r="G261" s="121">
        <v>312.91</v>
      </c>
      <c r="H261" s="121">
        <v>164.55</v>
      </c>
      <c r="I261" s="121">
        <v>207</v>
      </c>
      <c r="J261" s="121">
        <v>260.53</v>
      </c>
      <c r="K261" s="121">
        <v>189.52</v>
      </c>
      <c r="L261" s="121">
        <v>126.92</v>
      </c>
      <c r="M261" s="121">
        <v>141.3</v>
      </c>
      <c r="N261" s="121">
        <v>474.69</v>
      </c>
      <c r="O261" s="121">
        <v>914.41</v>
      </c>
      <c r="P261" s="121">
        <v>258.21</v>
      </c>
      <c r="Q261" s="121">
        <v>254.42</v>
      </c>
    </row>
    <row r="262" spans="1:17" s="115" customFormat="1" ht="15">
      <c r="A262" s="119" t="s">
        <v>490</v>
      </c>
      <c r="B262" s="13">
        <v>150</v>
      </c>
      <c r="C262" s="7">
        <v>506.44</v>
      </c>
      <c r="D262" s="7">
        <v>533.65</v>
      </c>
      <c r="E262" s="7">
        <v>391.46</v>
      </c>
      <c r="F262" s="7">
        <v>347.34</v>
      </c>
      <c r="G262" s="7">
        <v>313.16</v>
      </c>
      <c r="H262" s="7">
        <v>164.55</v>
      </c>
      <c r="I262" s="7">
        <v>207</v>
      </c>
      <c r="J262" s="7">
        <v>260.53</v>
      </c>
      <c r="K262" s="7">
        <v>189.77</v>
      </c>
      <c r="L262" s="7">
        <v>126.92</v>
      </c>
      <c r="M262" s="7">
        <v>141.55</v>
      </c>
      <c r="N262" s="7">
        <v>475.19</v>
      </c>
      <c r="O262" s="7">
        <v>915.16</v>
      </c>
      <c r="P262" s="7">
        <v>258.21</v>
      </c>
      <c r="Q262" s="7">
        <v>254.42</v>
      </c>
    </row>
    <row r="263" spans="1:17" s="115" customFormat="1" ht="15">
      <c r="A263" s="119" t="s">
        <v>491</v>
      </c>
      <c r="B263" s="13">
        <v>167</v>
      </c>
      <c r="C263" s="7">
        <v>485.16</v>
      </c>
      <c r="D263" s="7">
        <v>510.19</v>
      </c>
      <c r="E263" s="7">
        <v>386.75</v>
      </c>
      <c r="F263" s="7">
        <v>319.59</v>
      </c>
      <c r="G263" s="7">
        <v>287.88</v>
      </c>
      <c r="H263" s="7">
        <v>148.47</v>
      </c>
      <c r="I263" s="7">
        <v>185.52</v>
      </c>
      <c r="J263" s="7">
        <v>240.67</v>
      </c>
      <c r="K263" s="7">
        <v>175.54</v>
      </c>
      <c r="L263" s="7">
        <v>118.66</v>
      </c>
      <c r="M263" s="7">
        <v>127.85</v>
      </c>
      <c r="N263" s="7">
        <v>444.78</v>
      </c>
      <c r="O263" s="7">
        <v>857.12</v>
      </c>
      <c r="P263" s="7">
        <v>258.21</v>
      </c>
      <c r="Q263" s="7">
        <v>243.2</v>
      </c>
    </row>
    <row r="264" spans="1:17" s="115" customFormat="1" ht="15">
      <c r="A264" s="119" t="s">
        <v>492</v>
      </c>
      <c r="B264" s="13">
        <v>186</v>
      </c>
      <c r="C264" s="7">
        <v>497.87</v>
      </c>
      <c r="D264" s="7">
        <v>523.24</v>
      </c>
      <c r="E264" s="7">
        <v>410.99</v>
      </c>
      <c r="F264" s="7">
        <v>344.7</v>
      </c>
      <c r="G264" s="7">
        <v>312.24</v>
      </c>
      <c r="H264" s="7">
        <v>169.18</v>
      </c>
      <c r="I264" s="7">
        <v>209.53</v>
      </c>
      <c r="J264" s="7">
        <v>262.48</v>
      </c>
      <c r="K264" s="7">
        <v>166.81</v>
      </c>
      <c r="L264" s="7">
        <v>115.69</v>
      </c>
      <c r="M264" s="7">
        <v>134.73</v>
      </c>
      <c r="N264" s="7">
        <v>469.06</v>
      </c>
      <c r="O264" s="7">
        <v>880.06</v>
      </c>
      <c r="P264" s="7">
        <v>258.21</v>
      </c>
      <c r="Q264" s="7">
        <v>250.64</v>
      </c>
    </row>
    <row r="265" spans="1:17" s="116" customFormat="1" ht="15">
      <c r="A265" s="119" t="s">
        <v>493</v>
      </c>
      <c r="B265" s="13">
        <v>226</v>
      </c>
      <c r="C265" s="7">
        <v>499.12</v>
      </c>
      <c r="D265" s="7">
        <v>524.49</v>
      </c>
      <c r="E265" s="7">
        <v>411.74</v>
      </c>
      <c r="F265" s="7">
        <v>345.45</v>
      </c>
      <c r="G265" s="7">
        <v>312.49</v>
      </c>
      <c r="H265" s="7">
        <v>169.18</v>
      </c>
      <c r="I265" s="7">
        <v>209.53</v>
      </c>
      <c r="J265" s="7">
        <v>262.73</v>
      </c>
      <c r="K265" s="7">
        <v>167.06</v>
      </c>
      <c r="L265" s="7">
        <v>115.94</v>
      </c>
      <c r="M265" s="7">
        <v>134.73</v>
      </c>
      <c r="N265" s="7">
        <v>469.81</v>
      </c>
      <c r="O265" s="7">
        <v>881.31</v>
      </c>
      <c r="P265" s="7">
        <v>243.45</v>
      </c>
      <c r="Q265" s="7">
        <v>250.89</v>
      </c>
    </row>
    <row r="266" spans="1:17" s="116" customFormat="1" ht="15">
      <c r="A266" s="119" t="s">
        <v>494</v>
      </c>
      <c r="B266" s="13">
        <v>228</v>
      </c>
      <c r="C266" s="7">
        <v>469.18</v>
      </c>
      <c r="D266" s="7">
        <v>505.74</v>
      </c>
      <c r="E266" s="7">
        <v>371.04</v>
      </c>
      <c r="F266" s="7">
        <v>349.84</v>
      </c>
      <c r="G266" s="7">
        <v>312.93</v>
      </c>
      <c r="H266" s="7">
        <v>177.04</v>
      </c>
      <c r="I266" s="7">
        <v>215.75</v>
      </c>
      <c r="J266" s="7">
        <v>265.93</v>
      </c>
      <c r="K266" s="7">
        <v>185.87</v>
      </c>
      <c r="L266" s="7">
        <v>127.2</v>
      </c>
      <c r="M266" s="7">
        <v>150.22</v>
      </c>
      <c r="N266" s="7">
        <v>428.73</v>
      </c>
      <c r="O266" s="7">
        <v>841.57</v>
      </c>
      <c r="P266" s="7">
        <v>243.45</v>
      </c>
      <c r="Q266" s="7">
        <v>255.1</v>
      </c>
    </row>
    <row r="267" spans="1:17" s="117" customFormat="1" ht="15">
      <c r="A267" s="119" t="s">
        <v>495</v>
      </c>
      <c r="B267" s="13">
        <v>4</v>
      </c>
      <c r="C267" s="7">
        <v>505.35</v>
      </c>
      <c r="D267" s="7">
        <v>536.19</v>
      </c>
      <c r="E267" s="7">
        <v>419.03</v>
      </c>
      <c r="F267" s="7">
        <v>357.8</v>
      </c>
      <c r="G267" s="7">
        <v>324.63</v>
      </c>
      <c r="H267" s="7">
        <v>195.64</v>
      </c>
      <c r="I267" s="7">
        <v>233.12</v>
      </c>
      <c r="J267" s="7">
        <v>280.7</v>
      </c>
      <c r="K267" s="7">
        <v>195.16</v>
      </c>
      <c r="L267" s="7">
        <v>135.04</v>
      </c>
      <c r="M267" s="7">
        <v>160.88</v>
      </c>
      <c r="N267" s="7">
        <v>448.08</v>
      </c>
      <c r="O267" s="7">
        <v>869.77</v>
      </c>
      <c r="P267" s="7">
        <v>258.46</v>
      </c>
      <c r="Q267" s="7">
        <v>278.77</v>
      </c>
    </row>
    <row r="268" spans="1:17" ht="15">
      <c r="A268" s="77" t="s">
        <v>498</v>
      </c>
      <c r="B268" s="13">
        <v>24</v>
      </c>
      <c r="C268" s="7">
        <v>533.8</v>
      </c>
      <c r="D268" s="7">
        <v>562.91</v>
      </c>
      <c r="E268" s="7">
        <v>432.81</v>
      </c>
      <c r="F268" s="7">
        <v>378.57</v>
      </c>
      <c r="G268" s="7">
        <v>341.94</v>
      </c>
      <c r="H268" s="7">
        <v>215.67</v>
      </c>
      <c r="I268" s="7">
        <v>252.07</v>
      </c>
      <c r="J268" s="7">
        <v>299.28</v>
      </c>
      <c r="K268" s="7">
        <v>222.43</v>
      </c>
      <c r="L268" s="7">
        <v>151.23</v>
      </c>
      <c r="M268" s="7">
        <v>181.68</v>
      </c>
      <c r="N268" s="7">
        <v>465.43</v>
      </c>
      <c r="O268" s="7">
        <v>902.49</v>
      </c>
      <c r="P268" s="7">
        <v>258.46</v>
      </c>
      <c r="Q268" s="7">
        <v>291.19</v>
      </c>
    </row>
    <row r="269" spans="1:17" ht="15">
      <c r="A269" s="77" t="s">
        <v>499</v>
      </c>
      <c r="B269" s="13">
        <v>26</v>
      </c>
      <c r="C269" s="7">
        <v>534.55</v>
      </c>
      <c r="D269" s="7">
        <v>563.66</v>
      </c>
      <c r="E269" s="7">
        <v>433.06</v>
      </c>
      <c r="F269" s="7">
        <v>378.82</v>
      </c>
      <c r="G269" s="7">
        <v>342.19</v>
      </c>
      <c r="H269" s="7">
        <v>215.67</v>
      </c>
      <c r="I269" s="7">
        <v>252.07</v>
      </c>
      <c r="J269" s="7">
        <v>299.28</v>
      </c>
      <c r="K269" s="7">
        <v>222.68</v>
      </c>
      <c r="L269" s="7">
        <v>151.23</v>
      </c>
      <c r="M269" s="7">
        <v>181.93</v>
      </c>
      <c r="N269" s="7">
        <v>465.93</v>
      </c>
      <c r="O269" s="7">
        <v>903.24</v>
      </c>
      <c r="P269" s="7">
        <v>258.46</v>
      </c>
      <c r="Q269" s="7">
        <v>291.19</v>
      </c>
    </row>
    <row r="270" spans="1:17" ht="15">
      <c r="A270" s="77" t="s">
        <v>501</v>
      </c>
      <c r="B270" s="58">
        <v>43</v>
      </c>
      <c r="C270" s="121">
        <v>510.99</v>
      </c>
      <c r="D270" s="121">
        <v>537.28</v>
      </c>
      <c r="E270" s="121">
        <v>428.18</v>
      </c>
      <c r="F270" s="121">
        <v>378.65</v>
      </c>
      <c r="G270" s="121">
        <v>344.86</v>
      </c>
      <c r="H270" s="121">
        <v>212.14</v>
      </c>
      <c r="I270" s="121">
        <v>249.54</v>
      </c>
      <c r="J270" s="121">
        <v>296.33</v>
      </c>
      <c r="K270" s="121">
        <v>238.92</v>
      </c>
      <c r="L270" s="121">
        <v>159.99</v>
      </c>
      <c r="M270" s="121">
        <v>209.97</v>
      </c>
      <c r="N270" s="121">
        <v>495.83</v>
      </c>
      <c r="O270" s="121">
        <v>892.06</v>
      </c>
      <c r="P270" s="121">
        <v>258.46</v>
      </c>
      <c r="Q270" s="121">
        <v>297.99</v>
      </c>
    </row>
    <row r="271" spans="1:17" ht="15">
      <c r="A271" s="77" t="s">
        <v>502</v>
      </c>
      <c r="B271" s="58">
        <v>52</v>
      </c>
      <c r="C271" s="121">
        <v>513.34</v>
      </c>
      <c r="D271" s="121">
        <v>541.69</v>
      </c>
      <c r="E271" s="121">
        <v>419.6</v>
      </c>
      <c r="F271" s="121">
        <v>393.66</v>
      </c>
      <c r="G271" s="121">
        <v>353.91</v>
      </c>
      <c r="H271" s="121">
        <v>212.14</v>
      </c>
      <c r="I271" s="121">
        <v>249.54</v>
      </c>
      <c r="J271" s="121">
        <v>295.12</v>
      </c>
      <c r="K271" s="121">
        <v>238.92</v>
      </c>
      <c r="L271" s="121">
        <v>159.99</v>
      </c>
      <c r="M271" s="121">
        <v>209.97</v>
      </c>
      <c r="N271" s="121">
        <v>496.13</v>
      </c>
      <c r="O271" s="121">
        <v>872.12</v>
      </c>
      <c r="P271" s="121">
        <v>258.46</v>
      </c>
      <c r="Q271" s="121">
        <v>294.3</v>
      </c>
    </row>
    <row r="272" spans="1:17" ht="15">
      <c r="A272" s="77" t="s">
        <v>503</v>
      </c>
      <c r="B272" s="58">
        <v>64</v>
      </c>
      <c r="C272" s="121">
        <v>514.85</v>
      </c>
      <c r="D272" s="121">
        <v>544.09</v>
      </c>
      <c r="E272" s="121">
        <v>418.5</v>
      </c>
      <c r="F272" s="121">
        <v>391.02</v>
      </c>
      <c r="G272" s="121">
        <v>351.84</v>
      </c>
      <c r="H272" s="121">
        <v>214.86</v>
      </c>
      <c r="I272" s="121">
        <v>251.9</v>
      </c>
      <c r="J272" s="121">
        <v>296.34</v>
      </c>
      <c r="K272" s="121">
        <v>253.51</v>
      </c>
      <c r="L272" s="121">
        <v>168.41</v>
      </c>
      <c r="M272" s="121">
        <v>168.31</v>
      </c>
      <c r="N272" s="121">
        <v>494.03</v>
      </c>
      <c r="O272" s="121">
        <v>878.87</v>
      </c>
      <c r="P272" s="121">
        <v>258.46</v>
      </c>
      <c r="Q272" s="121">
        <v>275.23</v>
      </c>
    </row>
    <row r="273" spans="1:17" ht="15">
      <c r="A273" s="77" t="s">
        <v>504</v>
      </c>
      <c r="B273" s="58">
        <v>83</v>
      </c>
      <c r="C273" s="121">
        <v>540.62</v>
      </c>
      <c r="D273" s="121">
        <v>565.79</v>
      </c>
      <c r="E273" s="121">
        <v>413.53</v>
      </c>
      <c r="F273" s="121">
        <v>387.06</v>
      </c>
      <c r="G273" s="121">
        <v>355.37</v>
      </c>
      <c r="H273" s="121">
        <v>208.71</v>
      </c>
      <c r="I273" s="121">
        <v>246.4</v>
      </c>
      <c r="J273" s="121">
        <v>293.28</v>
      </c>
      <c r="K273" s="121">
        <v>242.64</v>
      </c>
      <c r="L273" s="121">
        <v>165.586</v>
      </c>
      <c r="M273" s="121">
        <v>166.91</v>
      </c>
      <c r="N273" s="121">
        <v>477.51</v>
      </c>
      <c r="O273" s="121">
        <v>897.24</v>
      </c>
      <c r="P273" s="121">
        <v>258.71</v>
      </c>
      <c r="Q273" s="121">
        <v>270.63</v>
      </c>
    </row>
    <row r="274" spans="1:17" ht="15">
      <c r="A274" s="130" t="s">
        <v>505</v>
      </c>
      <c r="B274" s="58">
        <v>101</v>
      </c>
      <c r="C274" s="131">
        <v>512.39</v>
      </c>
      <c r="D274" s="131">
        <v>541</v>
      </c>
      <c r="E274" s="131">
        <v>393.46</v>
      </c>
      <c r="F274" s="131">
        <v>371.23</v>
      </c>
      <c r="G274" s="131">
        <v>332.7</v>
      </c>
      <c r="H274" s="131">
        <v>199.47</v>
      </c>
      <c r="I274" s="131">
        <v>232.06</v>
      </c>
      <c r="J274" s="131">
        <v>279.51</v>
      </c>
      <c r="K274" s="131">
        <v>240.15</v>
      </c>
      <c r="L274" s="131">
        <v>159.59</v>
      </c>
      <c r="M274" s="131">
        <v>164.16</v>
      </c>
      <c r="N274" s="131">
        <v>454.78</v>
      </c>
      <c r="O274" s="131">
        <v>884.73</v>
      </c>
      <c r="P274" s="131">
        <v>258.71</v>
      </c>
      <c r="Q274" s="131">
        <v>255.31</v>
      </c>
    </row>
    <row r="275" spans="1:17" ht="15">
      <c r="A275" s="130" t="s">
        <v>506</v>
      </c>
      <c r="B275" s="58">
        <v>122</v>
      </c>
      <c r="C275" s="131">
        <v>503.09</v>
      </c>
      <c r="D275" s="131">
        <v>528.11</v>
      </c>
      <c r="E275" s="131">
        <v>386.51</v>
      </c>
      <c r="F275" s="131">
        <v>371.79</v>
      </c>
      <c r="G275" s="131">
        <v>329.71</v>
      </c>
      <c r="H275" s="131">
        <v>203.97</v>
      </c>
      <c r="I275" s="131">
        <v>236.57</v>
      </c>
      <c r="J275" s="131">
        <v>278.12</v>
      </c>
      <c r="K275" s="131">
        <v>238.3</v>
      </c>
      <c r="L275" s="131">
        <v>158.97</v>
      </c>
      <c r="M275" s="131">
        <v>163.28</v>
      </c>
      <c r="N275" s="131">
        <v>441.74</v>
      </c>
      <c r="O275" s="131">
        <v>879.39</v>
      </c>
      <c r="P275" s="131">
        <v>258.71</v>
      </c>
      <c r="Q275" s="131">
        <v>253.89</v>
      </c>
    </row>
    <row r="276" spans="1:17" ht="15">
      <c r="A276" s="130" t="s">
        <v>507</v>
      </c>
      <c r="B276" s="58">
        <v>145</v>
      </c>
      <c r="C276" s="131">
        <v>497.62</v>
      </c>
      <c r="D276" s="131">
        <v>519.17</v>
      </c>
      <c r="E276" s="131">
        <v>392.03</v>
      </c>
      <c r="F276" s="131">
        <v>368.45</v>
      </c>
      <c r="G276" s="131">
        <v>330.54</v>
      </c>
      <c r="H276" s="131">
        <v>203.78</v>
      </c>
      <c r="I276" s="131">
        <v>234.93</v>
      </c>
      <c r="J276" s="131">
        <v>276.65</v>
      </c>
      <c r="K276" s="131">
        <v>226.36</v>
      </c>
      <c r="L276" s="131">
        <v>152.01</v>
      </c>
      <c r="M276" s="131">
        <v>162.69</v>
      </c>
      <c r="N276" s="131">
        <v>442.58</v>
      </c>
      <c r="O276" s="131">
        <v>856.49</v>
      </c>
      <c r="P276" s="131">
        <v>258.71</v>
      </c>
      <c r="Q276" s="131">
        <v>253.44</v>
      </c>
    </row>
    <row r="277" spans="1:17" ht="15">
      <c r="A277" s="130" t="s">
        <v>508</v>
      </c>
      <c r="B277" s="58">
        <v>148</v>
      </c>
      <c r="C277" s="131">
        <v>498.62</v>
      </c>
      <c r="D277" s="131">
        <v>520.42</v>
      </c>
      <c r="E277" s="131">
        <v>392.78</v>
      </c>
      <c r="F277" s="131">
        <v>369.2</v>
      </c>
      <c r="G277" s="131">
        <v>330.79</v>
      </c>
      <c r="H277" s="131">
        <v>203.78</v>
      </c>
      <c r="I277" s="131">
        <v>234.93</v>
      </c>
      <c r="J277" s="131">
        <v>276.65</v>
      </c>
      <c r="K277" s="131">
        <v>226.61</v>
      </c>
      <c r="L277" s="131">
        <v>152.26</v>
      </c>
      <c r="M277" s="131">
        <v>162.94</v>
      </c>
      <c r="N277" s="131">
        <v>443.33</v>
      </c>
      <c r="O277" s="131">
        <v>857.49</v>
      </c>
      <c r="P277" s="131">
        <v>258.96</v>
      </c>
      <c r="Q277" s="131">
        <v>253.69</v>
      </c>
    </row>
    <row r="278" spans="1:17" ht="15">
      <c r="A278" s="130" t="s">
        <v>509</v>
      </c>
      <c r="B278" s="58">
        <v>164</v>
      </c>
      <c r="C278" s="131">
        <v>519.95</v>
      </c>
      <c r="D278" s="131">
        <v>545.64</v>
      </c>
      <c r="E278" s="131">
        <v>436.27</v>
      </c>
      <c r="F278" s="131">
        <v>392.34</v>
      </c>
      <c r="G278" s="131">
        <v>359.78</v>
      </c>
      <c r="H278" s="131">
        <v>218.41</v>
      </c>
      <c r="I278" s="131">
        <v>256.8</v>
      </c>
      <c r="J278" s="131">
        <v>296.18</v>
      </c>
      <c r="K278" s="131">
        <v>232.74</v>
      </c>
      <c r="L278" s="131">
        <v>157.31</v>
      </c>
      <c r="M278" s="131">
        <v>186.81</v>
      </c>
      <c r="N278" s="131">
        <v>483.99</v>
      </c>
      <c r="O278" s="131">
        <v>881.98</v>
      </c>
      <c r="P278" s="131">
        <v>258.96</v>
      </c>
      <c r="Q278" s="131">
        <v>272.87</v>
      </c>
    </row>
    <row r="279" spans="1:17" ht="15">
      <c r="A279" s="130" t="s">
        <v>510</v>
      </c>
      <c r="B279" s="58">
        <v>183</v>
      </c>
      <c r="C279" s="131">
        <v>546.51</v>
      </c>
      <c r="D279" s="131">
        <v>575.66</v>
      </c>
      <c r="E279" s="131">
        <v>451.06</v>
      </c>
      <c r="F279" s="131">
        <v>404.4</v>
      </c>
      <c r="G279" s="131">
        <v>399.21</v>
      </c>
      <c r="H279" s="131">
        <v>221.69</v>
      </c>
      <c r="I279" s="131">
        <v>265.65</v>
      </c>
      <c r="J279" s="131">
        <v>304.38</v>
      </c>
      <c r="K279" s="131">
        <v>163.47</v>
      </c>
      <c r="L279" s="131">
        <v>163.47</v>
      </c>
      <c r="M279" s="131">
        <v>197.44</v>
      </c>
      <c r="N279" s="131">
        <v>515.38</v>
      </c>
      <c r="O279" s="131">
        <v>890.87</v>
      </c>
      <c r="P279" s="131">
        <v>258.96</v>
      </c>
      <c r="Q279" s="131">
        <v>304.91</v>
      </c>
    </row>
    <row r="280" spans="1:17" ht="15">
      <c r="A280" s="130" t="s">
        <v>511</v>
      </c>
      <c r="B280" s="58">
        <v>205</v>
      </c>
      <c r="C280" s="131">
        <v>523.67</v>
      </c>
      <c r="D280" s="131">
        <v>547.97</v>
      </c>
      <c r="E280" s="131">
        <v>456.6</v>
      </c>
      <c r="F280" s="131">
        <v>406.73</v>
      </c>
      <c r="G280" s="131">
        <v>375.38</v>
      </c>
      <c r="H280" s="131">
        <v>224.14</v>
      </c>
      <c r="I280" s="131">
        <v>268.98</v>
      </c>
      <c r="J280" s="131">
        <v>307.62</v>
      </c>
      <c r="K280" s="131">
        <v>240.35</v>
      </c>
      <c r="L280" s="131">
        <v>162.09</v>
      </c>
      <c r="M280" s="131">
        <v>217.29</v>
      </c>
      <c r="N280" s="131">
        <v>498.32</v>
      </c>
      <c r="O280" s="131">
        <v>871.49</v>
      </c>
      <c r="P280" s="131">
        <v>258.96</v>
      </c>
      <c r="Q280" s="131">
        <v>287.9</v>
      </c>
    </row>
    <row r="281" spans="1:17" ht="15">
      <c r="A281" s="130" t="s">
        <v>513</v>
      </c>
      <c r="B281" s="58">
        <v>225</v>
      </c>
      <c r="C281" s="131">
        <v>548.98</v>
      </c>
      <c r="D281" s="131">
        <v>571.95</v>
      </c>
      <c r="E281" s="131">
        <v>470</v>
      </c>
      <c r="F281" s="131">
        <v>428.63</v>
      </c>
      <c r="G281" s="131">
        <v>386.41</v>
      </c>
      <c r="H281" s="131">
        <v>251.79</v>
      </c>
      <c r="I281" s="131">
        <v>292.17</v>
      </c>
      <c r="J281" s="131">
        <v>329.64</v>
      </c>
      <c r="K281" s="131">
        <v>242.14</v>
      </c>
      <c r="L281" s="131">
        <v>165.77</v>
      </c>
      <c r="M281" s="131">
        <v>220.9</v>
      </c>
      <c r="N281" s="131">
        <v>509.58</v>
      </c>
      <c r="O281" s="131">
        <v>884.88</v>
      </c>
      <c r="P281" s="131">
        <v>258.96</v>
      </c>
      <c r="Q281" s="131">
        <v>309.54</v>
      </c>
    </row>
    <row r="282" spans="1:17" ht="15">
      <c r="A282" s="130" t="s">
        <v>514</v>
      </c>
      <c r="B282" s="58">
        <v>242</v>
      </c>
      <c r="C282" s="131">
        <v>536.96</v>
      </c>
      <c r="D282" s="131">
        <v>547.8</v>
      </c>
      <c r="E282" s="131">
        <v>457.88</v>
      </c>
      <c r="F282" s="131">
        <v>430.18</v>
      </c>
      <c r="G282" s="131">
        <v>393.48</v>
      </c>
      <c r="H282" s="131">
        <v>246.93</v>
      </c>
      <c r="I282" s="131">
        <v>288.6</v>
      </c>
      <c r="J282" s="131">
        <v>330.24</v>
      </c>
      <c r="K282" s="131">
        <v>254.63</v>
      </c>
      <c r="L282" s="131">
        <v>168.54</v>
      </c>
      <c r="M282" s="131">
        <v>221.96</v>
      </c>
      <c r="N282" s="131">
        <v>494</v>
      </c>
      <c r="O282" s="131">
        <v>873.25</v>
      </c>
      <c r="P282" s="131">
        <v>258.96</v>
      </c>
      <c r="Q282" s="131">
        <v>306.37</v>
      </c>
    </row>
    <row r="283" spans="1:17" ht="15">
      <c r="A283" s="130" t="s">
        <v>516</v>
      </c>
      <c r="B283" s="58">
        <v>18</v>
      </c>
      <c r="C283" s="131">
        <v>548.86</v>
      </c>
      <c r="D283" s="131">
        <v>570.05</v>
      </c>
      <c r="E283" s="131">
        <v>478.75</v>
      </c>
      <c r="F283" s="131">
        <v>454.18</v>
      </c>
      <c r="G283" s="131">
        <v>417.37</v>
      </c>
      <c r="H283" s="131">
        <v>258.2</v>
      </c>
      <c r="I283" s="131">
        <v>305.63</v>
      </c>
      <c r="J283" s="131">
        <v>346.99</v>
      </c>
      <c r="K283" s="131">
        <v>264.27</v>
      </c>
      <c r="L283" s="131">
        <v>178.74</v>
      </c>
      <c r="M283" s="131">
        <v>217.02</v>
      </c>
      <c r="N283" s="131">
        <v>517.99</v>
      </c>
      <c r="O283" s="131">
        <v>887.89</v>
      </c>
      <c r="P283" s="131">
        <v>258.96</v>
      </c>
      <c r="Q283" s="131">
        <v>319.02</v>
      </c>
    </row>
    <row r="284" spans="1:17" ht="15">
      <c r="A284" s="130" t="s">
        <v>517</v>
      </c>
      <c r="B284" s="58">
        <v>22</v>
      </c>
      <c r="C284" s="131">
        <v>551.61</v>
      </c>
      <c r="D284" s="131">
        <v>573.05</v>
      </c>
      <c r="E284" s="131">
        <v>480.5</v>
      </c>
      <c r="F284" s="131">
        <v>455.93</v>
      </c>
      <c r="G284" s="131">
        <v>418.12</v>
      </c>
      <c r="H284" s="131">
        <v>258.45</v>
      </c>
      <c r="I284" s="131">
        <v>305.88</v>
      </c>
      <c r="J284" s="131">
        <v>347.49</v>
      </c>
      <c r="K284" s="131">
        <v>264.77</v>
      </c>
      <c r="L284" s="131">
        <v>179.986</v>
      </c>
      <c r="M284" s="131">
        <v>217.52</v>
      </c>
      <c r="N284" s="131">
        <v>519.74</v>
      </c>
      <c r="O284" s="131">
        <v>890.64</v>
      </c>
      <c r="P284" s="131">
        <v>259.46</v>
      </c>
      <c r="Q284" s="131">
        <v>319.52</v>
      </c>
    </row>
    <row r="285" spans="1:17" ht="15">
      <c r="A285" s="130" t="s">
        <v>519</v>
      </c>
      <c r="B285" s="58">
        <v>39</v>
      </c>
      <c r="C285" s="131">
        <v>567.77</v>
      </c>
      <c r="D285" s="131">
        <v>597</v>
      </c>
      <c r="E285" s="131">
        <v>489.56</v>
      </c>
      <c r="F285" s="131">
        <v>453.63</v>
      </c>
      <c r="G285" s="131">
        <v>419.65</v>
      </c>
      <c r="H285" s="131">
        <v>258.53</v>
      </c>
      <c r="I285" s="131">
        <v>308.33</v>
      </c>
      <c r="J285" s="131">
        <v>344.72</v>
      </c>
      <c r="K285" s="131">
        <v>285.47</v>
      </c>
      <c r="L285" s="131">
        <v>190.83</v>
      </c>
      <c r="M285" s="131">
        <v>199.74</v>
      </c>
      <c r="N285" s="131">
        <v>532.7</v>
      </c>
      <c r="O285" s="131">
        <v>916.69</v>
      </c>
      <c r="P285" s="131">
        <v>259.46</v>
      </c>
      <c r="Q285" s="131">
        <v>330.41</v>
      </c>
    </row>
    <row r="286" spans="1:17" ht="15">
      <c r="A286" s="130" t="s">
        <v>521</v>
      </c>
      <c r="B286" s="58">
        <v>58</v>
      </c>
      <c r="C286" s="131">
        <v>557.98</v>
      </c>
      <c r="D286" s="131">
        <v>586.25</v>
      </c>
      <c r="E286" s="131">
        <v>474.71</v>
      </c>
      <c r="F286" s="131">
        <v>453.63</v>
      </c>
      <c r="G286" s="131">
        <v>405.2</v>
      </c>
      <c r="H286" s="131">
        <v>247.63</v>
      </c>
      <c r="I286" s="131">
        <v>285.46</v>
      </c>
      <c r="J286" s="131">
        <v>324.25</v>
      </c>
      <c r="K286" s="131">
        <v>285.54</v>
      </c>
      <c r="L286" s="131">
        <v>189.87</v>
      </c>
      <c r="M286" s="131">
        <v>196.34</v>
      </c>
      <c r="N286" s="131">
        <v>518.96</v>
      </c>
      <c r="O286" s="131">
        <v>911.19</v>
      </c>
      <c r="P286" s="131">
        <v>259.46</v>
      </c>
      <c r="Q286" s="131">
        <v>343.37</v>
      </c>
    </row>
    <row r="287" spans="1:17" ht="15">
      <c r="A287" s="130" t="s">
        <v>523</v>
      </c>
      <c r="B287" s="58">
        <v>77</v>
      </c>
      <c r="C287" s="131">
        <v>576.33</v>
      </c>
      <c r="D287" s="131">
        <v>606.26</v>
      </c>
      <c r="E287" s="131">
        <v>484.25</v>
      </c>
      <c r="F287" s="131">
        <v>453.63</v>
      </c>
      <c r="G287" s="131">
        <v>419.83</v>
      </c>
      <c r="H287" s="131">
        <v>253.67</v>
      </c>
      <c r="I287" s="131">
        <v>295.24</v>
      </c>
      <c r="J287" s="131">
        <v>336.37</v>
      </c>
      <c r="K287" s="131">
        <v>289.51</v>
      </c>
      <c r="L287" s="131">
        <v>192.8</v>
      </c>
      <c r="M287" s="131">
        <v>189.3</v>
      </c>
      <c r="N287" s="131">
        <v>508.52</v>
      </c>
      <c r="O287" s="131">
        <v>949.37</v>
      </c>
      <c r="P287" s="131">
        <v>259.46</v>
      </c>
      <c r="Q287" s="131">
        <v>360.2</v>
      </c>
    </row>
    <row r="288" spans="1:17" ht="15">
      <c r="A288" s="130" t="s">
        <v>524</v>
      </c>
      <c r="B288" s="58">
        <v>96</v>
      </c>
      <c r="C288" s="131">
        <v>596.42</v>
      </c>
      <c r="D288" s="131">
        <v>623.74</v>
      </c>
      <c r="E288" s="131">
        <v>505.56</v>
      </c>
      <c r="F288" s="131">
        <v>453.63</v>
      </c>
      <c r="G288" s="131">
        <v>440.67</v>
      </c>
      <c r="H288" s="131">
        <v>279.89</v>
      </c>
      <c r="I288" s="131">
        <v>321.48</v>
      </c>
      <c r="J288" s="131">
        <v>357</v>
      </c>
      <c r="K288" s="131">
        <v>312.77</v>
      </c>
      <c r="L288" s="131">
        <v>208.17</v>
      </c>
      <c r="M288" s="131">
        <v>210.08</v>
      </c>
      <c r="N288" s="131">
        <v>529.25</v>
      </c>
      <c r="O288" s="131">
        <v>966.61</v>
      </c>
      <c r="P288" s="131">
        <v>259.46</v>
      </c>
      <c r="Q288" s="131">
        <v>381.26</v>
      </c>
    </row>
    <row r="289" spans="1:17" ht="15">
      <c r="A289" s="130" t="s">
        <v>526</v>
      </c>
      <c r="B289" s="58">
        <v>116</v>
      </c>
      <c r="C289" s="131">
        <v>596.21</v>
      </c>
      <c r="D289" s="131">
        <v>621.02</v>
      </c>
      <c r="E289" s="131">
        <v>499.79</v>
      </c>
      <c r="F289" s="131">
        <v>453.63</v>
      </c>
      <c r="G289" s="131">
        <v>445.3</v>
      </c>
      <c r="H289" s="131">
        <v>290.68</v>
      </c>
      <c r="I289" s="131">
        <v>330.18</v>
      </c>
      <c r="J289" s="131">
        <v>362.81</v>
      </c>
      <c r="K289" s="131">
        <v>338.67</v>
      </c>
      <c r="L289" s="131">
        <v>223.7</v>
      </c>
      <c r="M289" s="131">
        <v>213.7</v>
      </c>
      <c r="N289" s="131">
        <v>554.4</v>
      </c>
      <c r="O289" s="131">
        <v>940.49</v>
      </c>
      <c r="P289" s="131">
        <v>259.46</v>
      </c>
      <c r="Q289" s="131">
        <v>385.14</v>
      </c>
    </row>
    <row r="290" spans="1:17" ht="15">
      <c r="A290" s="130" t="s">
        <v>528</v>
      </c>
      <c r="B290" s="58">
        <v>139</v>
      </c>
      <c r="C290" s="131">
        <v>596.82</v>
      </c>
      <c r="D290" s="131">
        <v>618.73</v>
      </c>
      <c r="E290" s="131">
        <v>497.39</v>
      </c>
      <c r="F290" s="131">
        <v>453.63</v>
      </c>
      <c r="G290" s="131">
        <v>444.22</v>
      </c>
      <c r="H290" s="131">
        <v>308.91</v>
      </c>
      <c r="I290" s="131">
        <v>341.61</v>
      </c>
      <c r="J290" s="131">
        <v>369.46</v>
      </c>
      <c r="K290" s="131">
        <v>359.25</v>
      </c>
      <c r="L290" s="131">
        <v>236.98</v>
      </c>
      <c r="M290" s="131">
        <v>226.81</v>
      </c>
      <c r="N290" s="131">
        <v>553.49</v>
      </c>
      <c r="O290" s="131">
        <v>920.03</v>
      </c>
      <c r="P290" s="131">
        <v>259.46</v>
      </c>
      <c r="Q290" s="131">
        <v>384.7</v>
      </c>
    </row>
    <row r="291" spans="1:17" ht="15">
      <c r="A291" s="130" t="s">
        <v>530</v>
      </c>
      <c r="B291" s="58">
        <v>160</v>
      </c>
      <c r="C291" s="131">
        <v>605.43</v>
      </c>
      <c r="D291" s="131">
        <v>623.01</v>
      </c>
      <c r="E291" s="131">
        <v>507.31</v>
      </c>
      <c r="F291" s="131">
        <v>453.63</v>
      </c>
      <c r="G291" s="131">
        <v>444.33</v>
      </c>
      <c r="H291" s="131">
        <v>293.15</v>
      </c>
      <c r="I291" s="131">
        <v>329.27</v>
      </c>
      <c r="J291" s="131">
        <v>366.36</v>
      </c>
      <c r="K291" s="131">
        <v>361.1</v>
      </c>
      <c r="L291" s="131">
        <v>236.44</v>
      </c>
      <c r="M291" s="131">
        <v>229.16</v>
      </c>
      <c r="N291" s="131">
        <v>559.51</v>
      </c>
      <c r="O291" s="131">
        <v>913.71</v>
      </c>
      <c r="P291" s="131">
        <v>259.46</v>
      </c>
      <c r="Q291" s="131">
        <v>382.64</v>
      </c>
    </row>
    <row r="292" spans="1:17" ht="15">
      <c r="A292" s="130" t="s">
        <v>532</v>
      </c>
      <c r="B292" s="58">
        <v>182</v>
      </c>
      <c r="C292" s="131">
        <v>605.46</v>
      </c>
      <c r="D292" s="131">
        <v>622.36</v>
      </c>
      <c r="E292" s="131">
        <v>528.36</v>
      </c>
      <c r="F292" s="131">
        <v>453.63</v>
      </c>
      <c r="G292" s="131">
        <v>463.32</v>
      </c>
      <c r="H292" s="131">
        <v>300.88</v>
      </c>
      <c r="I292" s="131">
        <v>343.02</v>
      </c>
      <c r="J292" s="131">
        <v>382.15</v>
      </c>
      <c r="K292" s="131">
        <v>366.07</v>
      </c>
      <c r="L292" s="131">
        <v>239.94</v>
      </c>
      <c r="M292" s="131">
        <v>247.04</v>
      </c>
      <c r="N292" s="131">
        <v>578.41</v>
      </c>
      <c r="O292" s="131">
        <v>912.84</v>
      </c>
      <c r="P292" s="131">
        <v>259.46</v>
      </c>
      <c r="Q292" s="131">
        <v>397.53</v>
      </c>
    </row>
    <row r="293" spans="1:17" ht="15">
      <c r="A293" s="130" t="s">
        <v>534</v>
      </c>
      <c r="B293" s="58">
        <v>203</v>
      </c>
      <c r="C293" s="131">
        <v>614.69</v>
      </c>
      <c r="D293" s="131">
        <v>635.4</v>
      </c>
      <c r="E293" s="131">
        <v>540.4</v>
      </c>
      <c r="F293" s="131">
        <v>453.63</v>
      </c>
      <c r="G293" s="131">
        <v>484.59</v>
      </c>
      <c r="H293" s="131">
        <v>332.41</v>
      </c>
      <c r="I293" s="131">
        <v>375.15</v>
      </c>
      <c r="J293" s="131">
        <v>408.37</v>
      </c>
      <c r="K293" s="131">
        <v>359.33</v>
      </c>
      <c r="L293" s="131">
        <v>239.08</v>
      </c>
      <c r="M293" s="131">
        <v>249.09</v>
      </c>
      <c r="N293" s="131">
        <v>591.52</v>
      </c>
      <c r="O293" s="131">
        <v>960.68</v>
      </c>
      <c r="P293" s="131">
        <v>259.46</v>
      </c>
      <c r="Q293" s="131">
        <v>420.22</v>
      </c>
    </row>
    <row r="294" spans="1:17" ht="15">
      <c r="A294" s="130" t="s">
        <v>536</v>
      </c>
      <c r="B294" s="58">
        <v>210</v>
      </c>
      <c r="C294" s="131">
        <v>615.69</v>
      </c>
      <c r="D294" s="131">
        <v>636.4</v>
      </c>
      <c r="E294" s="131">
        <v>540.9</v>
      </c>
      <c r="F294" s="131">
        <v>453.63</v>
      </c>
      <c r="G294" s="131">
        <v>484.84</v>
      </c>
      <c r="H294" s="131">
        <v>332.41</v>
      </c>
      <c r="I294" s="131">
        <v>375.15</v>
      </c>
      <c r="J294" s="131">
        <v>408.62</v>
      </c>
      <c r="K294" s="131">
        <v>359.58</v>
      </c>
      <c r="L294" s="131">
        <v>239.33</v>
      </c>
      <c r="M294" s="131">
        <v>249.34</v>
      </c>
      <c r="N294" s="131">
        <v>592.27</v>
      </c>
      <c r="O294" s="131">
        <v>961.68</v>
      </c>
      <c r="P294" s="131">
        <v>259.46</v>
      </c>
      <c r="Q294" s="131">
        <v>420.47</v>
      </c>
    </row>
    <row r="295" spans="1:17" ht="15">
      <c r="A295" s="130" t="s">
        <v>537</v>
      </c>
      <c r="B295" s="58">
        <v>221</v>
      </c>
      <c r="C295" s="131">
        <v>567.62</v>
      </c>
      <c r="D295" s="131">
        <v>578.76</v>
      </c>
      <c r="E295" s="131">
        <v>528.71</v>
      </c>
      <c r="F295" s="131">
        <v>453.63</v>
      </c>
      <c r="G295" s="131">
        <v>475.27</v>
      </c>
      <c r="H295" s="131">
        <v>329.12</v>
      </c>
      <c r="I295" s="131">
        <v>368.74</v>
      </c>
      <c r="J295" s="131">
        <v>401.47</v>
      </c>
      <c r="K295" s="131">
        <v>351.32</v>
      </c>
      <c r="L295" s="131">
        <v>234.41</v>
      </c>
      <c r="M295" s="131">
        <v>211.53</v>
      </c>
      <c r="N295" s="131">
        <v>582.67</v>
      </c>
      <c r="O295" s="131">
        <v>933.56</v>
      </c>
      <c r="P295" s="131">
        <v>259.46</v>
      </c>
      <c r="Q295" s="131">
        <v>401.57</v>
      </c>
    </row>
    <row r="296" spans="1:17" ht="15">
      <c r="A296" s="130" t="s">
        <v>538</v>
      </c>
      <c r="B296" s="58">
        <v>6</v>
      </c>
      <c r="C296" s="131">
        <v>523.14</v>
      </c>
      <c r="D296" s="131">
        <v>537.81</v>
      </c>
      <c r="E296" s="131">
        <v>475.81</v>
      </c>
      <c r="F296" s="131">
        <v>453.63</v>
      </c>
      <c r="G296" s="131">
        <v>407.24</v>
      </c>
      <c r="H296" s="131">
        <v>267.66</v>
      </c>
      <c r="I296" s="131">
        <v>297.71</v>
      </c>
      <c r="J296" s="131">
        <v>334.27</v>
      </c>
      <c r="K296" s="131">
        <v>291.21</v>
      </c>
      <c r="L296" s="131">
        <v>195.09</v>
      </c>
      <c r="M296" s="131">
        <v>184.71</v>
      </c>
      <c r="N296" s="131">
        <v>517.85</v>
      </c>
      <c r="O296" s="131">
        <v>874.81</v>
      </c>
      <c r="P296" s="131">
        <v>259.46</v>
      </c>
      <c r="Q296" s="131">
        <v>334.78</v>
      </c>
    </row>
    <row r="297" spans="1:17" ht="15">
      <c r="A297" s="130" t="s">
        <v>539</v>
      </c>
      <c r="B297" s="58">
        <v>22</v>
      </c>
      <c r="C297" s="131">
        <v>507.31</v>
      </c>
      <c r="D297" s="131">
        <v>522.01</v>
      </c>
      <c r="E297" s="131">
        <v>465.63</v>
      </c>
      <c r="F297" s="131">
        <v>453.63</v>
      </c>
      <c r="G297" s="131">
        <v>401.32</v>
      </c>
      <c r="H297" s="131">
        <v>256.59</v>
      </c>
      <c r="I297" s="131">
        <v>286.89</v>
      </c>
      <c r="J297" s="131">
        <v>324.75</v>
      </c>
      <c r="K297" s="131">
        <v>269.89</v>
      </c>
      <c r="L297" s="131">
        <v>182.13</v>
      </c>
      <c r="M297" s="131">
        <v>175.35</v>
      </c>
      <c r="N297" s="131">
        <v>511.96</v>
      </c>
      <c r="O297" s="131">
        <v>848.83</v>
      </c>
      <c r="P297" s="131">
        <v>259.46</v>
      </c>
      <c r="Q297" s="131">
        <v>326.07</v>
      </c>
    </row>
    <row r="298" spans="1:17" ht="15">
      <c r="A298" s="130" t="s">
        <v>540</v>
      </c>
      <c r="B298" s="58">
        <v>27</v>
      </c>
      <c r="C298" s="131">
        <v>509.81</v>
      </c>
      <c r="D298" s="131">
        <v>524.51</v>
      </c>
      <c r="E298" s="131">
        <v>467.13</v>
      </c>
      <c r="F298" s="131">
        <v>456.38</v>
      </c>
      <c r="G298" s="131">
        <v>402.07</v>
      </c>
      <c r="H298" s="131">
        <v>256.84</v>
      </c>
      <c r="I298" s="131">
        <v>287.14</v>
      </c>
      <c r="J298" s="131">
        <v>325.25</v>
      </c>
      <c r="K298" s="131">
        <v>270.39</v>
      </c>
      <c r="L298" s="131">
        <v>182.63</v>
      </c>
      <c r="M298" s="131">
        <v>175.85</v>
      </c>
      <c r="N298" s="131">
        <v>513.46</v>
      </c>
      <c r="O298" s="131">
        <v>851.33</v>
      </c>
      <c r="P298" s="131">
        <v>260.21</v>
      </c>
      <c r="Q298" s="131">
        <v>326.32</v>
      </c>
    </row>
    <row r="299" spans="1:17" ht="15">
      <c r="A299" s="130" t="s">
        <v>541</v>
      </c>
      <c r="B299" s="58">
        <v>41</v>
      </c>
      <c r="C299" s="131">
        <v>507.1</v>
      </c>
      <c r="D299" s="131">
        <v>523.33</v>
      </c>
      <c r="E299" s="131">
        <v>467.75</v>
      </c>
      <c r="F299" s="131">
        <v>456.38</v>
      </c>
      <c r="G299" s="131">
        <v>422.55</v>
      </c>
      <c r="H299" s="131">
        <v>288.27</v>
      </c>
      <c r="I299" s="131">
        <v>319.18</v>
      </c>
      <c r="J299" s="131">
        <v>347.68</v>
      </c>
      <c r="K299" s="131">
        <v>310.81</v>
      </c>
      <c r="L299" s="131">
        <v>208.16</v>
      </c>
      <c r="M299" s="131">
        <v>185.18</v>
      </c>
      <c r="N299" s="131">
        <v>509.48</v>
      </c>
      <c r="O299" s="131">
        <v>861.71</v>
      </c>
      <c r="P299" s="131">
        <v>260.21</v>
      </c>
      <c r="Q299" s="131">
        <v>349.39</v>
      </c>
    </row>
    <row r="300" spans="1:17" ht="15">
      <c r="A300" s="130" t="s">
        <v>542</v>
      </c>
      <c r="B300" s="58">
        <v>63</v>
      </c>
      <c r="C300" s="131">
        <v>543.62</v>
      </c>
      <c r="D300" s="131">
        <v>560.12</v>
      </c>
      <c r="E300" s="131">
        <v>484.17</v>
      </c>
      <c r="F300" s="131">
        <v>456.38</v>
      </c>
      <c r="G300" s="131">
        <v>431.59</v>
      </c>
      <c r="H300" s="131">
        <v>313.69</v>
      </c>
      <c r="I300" s="131">
        <v>343.4</v>
      </c>
      <c r="J300" s="131">
        <v>366.42</v>
      </c>
      <c r="K300" s="131">
        <v>355.27</v>
      </c>
      <c r="L300" s="131">
        <v>235.39</v>
      </c>
      <c r="M300" s="131">
        <v>185.68</v>
      </c>
      <c r="N300" s="131">
        <v>518.53</v>
      </c>
      <c r="O300" s="131">
        <v>893.96</v>
      </c>
      <c r="P300" s="131">
        <v>260.21</v>
      </c>
      <c r="Q300" s="131">
        <v>366.87</v>
      </c>
    </row>
    <row r="301" spans="1:17" ht="15">
      <c r="A301" s="130" t="s">
        <v>543</v>
      </c>
      <c r="B301" s="58">
        <v>81</v>
      </c>
      <c r="C301" s="131">
        <v>611.26</v>
      </c>
      <c r="D301" s="131">
        <v>633.14</v>
      </c>
      <c r="E301" s="131">
        <v>509.85</v>
      </c>
      <c r="F301" s="131">
        <v>453.63</v>
      </c>
      <c r="G301" s="131">
        <v>436.47</v>
      </c>
      <c r="H301" s="131">
        <v>312.02</v>
      </c>
      <c r="I301" s="131">
        <v>342.2</v>
      </c>
      <c r="J301" s="131">
        <v>368.48</v>
      </c>
      <c r="K301" s="131">
        <v>382.8</v>
      </c>
      <c r="L301" s="131">
        <v>250.64</v>
      </c>
      <c r="M301" s="131">
        <v>173.37</v>
      </c>
      <c r="N301" s="131">
        <v>548.01</v>
      </c>
      <c r="O301" s="131">
        <v>970.13</v>
      </c>
      <c r="P301" s="131">
        <v>260.21</v>
      </c>
      <c r="Q301" s="131">
        <v>378.71</v>
      </c>
    </row>
    <row r="302" spans="1:17" ht="15">
      <c r="A302" s="130" t="s">
        <v>544</v>
      </c>
      <c r="B302" s="58">
        <v>100</v>
      </c>
      <c r="C302" s="131">
        <v>606.71</v>
      </c>
      <c r="D302" s="131">
        <v>626.32</v>
      </c>
      <c r="E302" s="131">
        <v>512.68</v>
      </c>
      <c r="F302" s="131">
        <v>453.63</v>
      </c>
      <c r="G302" s="131">
        <v>439.76</v>
      </c>
      <c r="H302" s="131">
        <v>307.99</v>
      </c>
      <c r="I302" s="131">
        <v>340.6</v>
      </c>
      <c r="J302" s="131">
        <v>368.5</v>
      </c>
      <c r="K302" s="131">
        <v>391.27</v>
      </c>
      <c r="L302" s="131">
        <v>255.01</v>
      </c>
      <c r="M302" s="131">
        <v>165.92</v>
      </c>
      <c r="N302" s="131">
        <v>551.19</v>
      </c>
      <c r="O302" s="131">
        <v>960.27</v>
      </c>
      <c r="P302" s="131">
        <v>260.21</v>
      </c>
      <c r="Q302" s="131">
        <v>380.06</v>
      </c>
    </row>
    <row r="303" spans="1:17" ht="15">
      <c r="A303" s="130" t="s">
        <v>545</v>
      </c>
      <c r="B303" s="58">
        <v>109</v>
      </c>
      <c r="C303" s="131">
        <v>606.72</v>
      </c>
      <c r="D303" s="131">
        <v>626.33</v>
      </c>
      <c r="E303" s="131">
        <v>512.69</v>
      </c>
      <c r="F303" s="131">
        <v>453.63</v>
      </c>
      <c r="G303" s="131">
        <v>439.77</v>
      </c>
      <c r="H303" s="131">
        <v>307.99</v>
      </c>
      <c r="I303" s="131">
        <v>340.6</v>
      </c>
      <c r="J303" s="131">
        <v>368.5</v>
      </c>
      <c r="K303" s="131">
        <v>391.27</v>
      </c>
      <c r="L303" s="131">
        <v>255.01</v>
      </c>
      <c r="M303" s="131">
        <v>165.92</v>
      </c>
      <c r="N303" s="131">
        <v>551.2</v>
      </c>
      <c r="O303" s="131">
        <v>960.28</v>
      </c>
      <c r="P303" s="131">
        <v>260.21</v>
      </c>
      <c r="Q303" s="131">
        <v>380.06</v>
      </c>
    </row>
    <row r="304" spans="1:17" ht="15">
      <c r="A304" s="130" t="s">
        <v>546</v>
      </c>
      <c r="B304" s="58">
        <v>124</v>
      </c>
      <c r="C304" s="131">
        <v>579.68</v>
      </c>
      <c r="D304" s="131">
        <v>600.97</v>
      </c>
      <c r="E304" s="131">
        <v>469.22</v>
      </c>
      <c r="F304" s="131">
        <v>453.63</v>
      </c>
      <c r="G304" s="131">
        <v>404.92</v>
      </c>
      <c r="H304" s="131">
        <v>259.21</v>
      </c>
      <c r="I304" s="131">
        <v>291.25</v>
      </c>
      <c r="J304" s="131">
        <v>328.07</v>
      </c>
      <c r="K304" s="131">
        <v>366.15</v>
      </c>
      <c r="L304" s="131">
        <v>236.44</v>
      </c>
      <c r="M304" s="131">
        <v>133.1</v>
      </c>
      <c r="N304" s="131">
        <v>515.11</v>
      </c>
      <c r="O304" s="131">
        <v>998.04</v>
      </c>
      <c r="P304" s="131">
        <v>260.21</v>
      </c>
      <c r="Q304" s="131">
        <v>342.43</v>
      </c>
    </row>
    <row r="305" spans="1:17" ht="15">
      <c r="A305" s="130" t="s">
        <v>547</v>
      </c>
      <c r="B305" s="58">
        <v>135</v>
      </c>
      <c r="C305" s="131">
        <v>578.92</v>
      </c>
      <c r="D305" s="131">
        <v>600.31</v>
      </c>
      <c r="E305" s="131">
        <v>469.7</v>
      </c>
      <c r="F305" s="131">
        <v>453.63</v>
      </c>
      <c r="G305" s="131">
        <v>401.57</v>
      </c>
      <c r="H305" s="131">
        <v>259.21</v>
      </c>
      <c r="I305" s="131">
        <v>291.25</v>
      </c>
      <c r="J305" s="131">
        <v>327.14</v>
      </c>
      <c r="K305" s="131">
        <v>366.15</v>
      </c>
      <c r="L305" s="131">
        <v>236.44</v>
      </c>
      <c r="M305" s="131">
        <v>133.1</v>
      </c>
      <c r="N305" s="131">
        <v>510.83</v>
      </c>
      <c r="O305" s="131">
        <v>1003.76</v>
      </c>
      <c r="P305" s="131">
        <v>260.21</v>
      </c>
      <c r="Q305" s="131">
        <v>345.53</v>
      </c>
    </row>
    <row r="306" spans="1:17" ht="15">
      <c r="A306" s="130" t="s">
        <v>548</v>
      </c>
      <c r="B306" s="58">
        <v>145</v>
      </c>
      <c r="C306" s="131">
        <v>605.5</v>
      </c>
      <c r="D306" s="131">
        <v>631.23</v>
      </c>
      <c r="E306" s="131">
        <v>483.78</v>
      </c>
      <c r="F306" s="131">
        <v>453.63</v>
      </c>
      <c r="G306" s="131">
        <v>420.09</v>
      </c>
      <c r="H306" s="131">
        <v>287.59</v>
      </c>
      <c r="I306" s="131">
        <v>315.68</v>
      </c>
      <c r="J306" s="131">
        <v>348.26</v>
      </c>
      <c r="K306" s="131">
        <v>337.21</v>
      </c>
      <c r="L306" s="131">
        <v>222.91</v>
      </c>
      <c r="M306" s="131">
        <v>133.82</v>
      </c>
      <c r="N306" s="131">
        <v>529.39</v>
      </c>
      <c r="O306" s="131">
        <v>1018.99</v>
      </c>
      <c r="P306" s="131">
        <v>260.21</v>
      </c>
      <c r="Q306" s="131">
        <v>365.37</v>
      </c>
    </row>
    <row r="307" spans="1:17" ht="15">
      <c r="A307" s="130" t="s">
        <v>550</v>
      </c>
      <c r="B307" s="58">
        <v>151</v>
      </c>
      <c r="C307" s="131">
        <v>608</v>
      </c>
      <c r="D307" s="131">
        <v>633.73</v>
      </c>
      <c r="E307" s="131">
        <v>485.28</v>
      </c>
      <c r="F307" s="131">
        <v>453.63</v>
      </c>
      <c r="G307" s="131">
        <v>420.84</v>
      </c>
      <c r="H307" s="131">
        <v>287.84</v>
      </c>
      <c r="I307" s="131">
        <v>315.93</v>
      </c>
      <c r="J307" s="131">
        <v>348.76</v>
      </c>
      <c r="K307" s="131">
        <v>337.71</v>
      </c>
      <c r="L307" s="131">
        <v>223.16</v>
      </c>
      <c r="M307" s="131">
        <v>134.32</v>
      </c>
      <c r="N307" s="131">
        <v>530.89</v>
      </c>
      <c r="O307" s="131">
        <v>1021.49</v>
      </c>
      <c r="P307" s="131">
        <v>260.21</v>
      </c>
      <c r="Q307" s="131">
        <v>365.62</v>
      </c>
    </row>
    <row r="308" spans="1:17" ht="15">
      <c r="A308" s="130" t="s">
        <v>551</v>
      </c>
      <c r="B308" s="58">
        <v>161</v>
      </c>
      <c r="C308" s="131">
        <v>551.21</v>
      </c>
      <c r="D308" s="131">
        <v>573.86</v>
      </c>
      <c r="E308" s="131">
        <v>468.29</v>
      </c>
      <c r="F308" s="131">
        <v>453.63</v>
      </c>
      <c r="G308" s="131">
        <v>403.16</v>
      </c>
      <c r="H308" s="131">
        <v>246.02</v>
      </c>
      <c r="I308" s="131">
        <v>282.07</v>
      </c>
      <c r="J308" s="131">
        <v>322.68</v>
      </c>
      <c r="K308" s="131">
        <v>320.72</v>
      </c>
      <c r="L308" s="131">
        <v>209.74</v>
      </c>
      <c r="M308" s="131">
        <v>131.69</v>
      </c>
      <c r="N308" s="131">
        <v>509.55</v>
      </c>
      <c r="O308" s="131">
        <v>1001.36</v>
      </c>
      <c r="P308" s="131">
        <v>260.21</v>
      </c>
      <c r="Q308" s="131">
        <v>346.93</v>
      </c>
    </row>
    <row r="309" spans="1:17" ht="15">
      <c r="A309" s="130" t="s">
        <v>552</v>
      </c>
      <c r="B309" s="58">
        <v>186</v>
      </c>
      <c r="C309" s="131">
        <v>538.83</v>
      </c>
      <c r="D309" s="131">
        <v>558.4</v>
      </c>
      <c r="E309" s="131">
        <v>474.86</v>
      </c>
      <c r="F309" s="131">
        <v>453.63</v>
      </c>
      <c r="G309" s="131">
        <v>401.42</v>
      </c>
      <c r="H309" s="131">
        <v>219.26</v>
      </c>
      <c r="I309" s="131">
        <v>266.34</v>
      </c>
      <c r="J309" s="131">
        <v>315</v>
      </c>
      <c r="K309" s="131">
        <v>283.14</v>
      </c>
      <c r="L309" s="131">
        <v>186.28</v>
      </c>
      <c r="M309" s="131">
        <v>131.84</v>
      </c>
      <c r="N309" s="131">
        <v>507.79</v>
      </c>
      <c r="O309" s="131">
        <v>974.89</v>
      </c>
      <c r="P309" s="131">
        <v>260.21</v>
      </c>
      <c r="Q309" s="131">
        <v>341.89</v>
      </c>
    </row>
    <row r="310" spans="1:18" ht="15">
      <c r="A310" s="130" t="s">
        <v>553</v>
      </c>
      <c r="B310" s="58">
        <v>209</v>
      </c>
      <c r="C310" s="131">
        <v>558.23</v>
      </c>
      <c r="D310" s="131">
        <v>575.9</v>
      </c>
      <c r="E310" s="131">
        <v>493</v>
      </c>
      <c r="F310" s="131">
        <v>453.63</v>
      </c>
      <c r="G310" s="131">
        <v>412.18</v>
      </c>
      <c r="H310" s="131">
        <v>238.97</v>
      </c>
      <c r="I310" s="131">
        <v>282.73</v>
      </c>
      <c r="J310" s="131">
        <v>330.37</v>
      </c>
      <c r="K310" s="131">
        <v>281.48</v>
      </c>
      <c r="L310" s="131">
        <v>187.13</v>
      </c>
      <c r="M310" s="131">
        <v>138.71</v>
      </c>
      <c r="N310" s="131">
        <v>526.89</v>
      </c>
      <c r="O310" s="131">
        <v>906.58</v>
      </c>
      <c r="P310" s="131">
        <v>260.21</v>
      </c>
      <c r="Q310" s="131">
        <v>348.75</v>
      </c>
      <c r="R310" s="132"/>
    </row>
    <row r="311" spans="1:18" ht="15">
      <c r="A311" s="130" t="s">
        <v>554</v>
      </c>
      <c r="B311" s="58">
        <v>213</v>
      </c>
      <c r="C311" s="131">
        <v>559.48</v>
      </c>
      <c r="D311" s="131">
        <v>577.4</v>
      </c>
      <c r="E311" s="131">
        <v>493.75</v>
      </c>
      <c r="F311" s="131">
        <v>453.63</v>
      </c>
      <c r="G311" s="131">
        <v>412.68</v>
      </c>
      <c r="H311" s="131">
        <v>239.22</v>
      </c>
      <c r="I311" s="131">
        <v>282.98</v>
      </c>
      <c r="J311" s="131">
        <v>330.62</v>
      </c>
      <c r="K311" s="131">
        <v>281.73</v>
      </c>
      <c r="L311" s="131">
        <v>187.38</v>
      </c>
      <c r="M311" s="131">
        <v>138.96</v>
      </c>
      <c r="N311" s="131">
        <v>527.64</v>
      </c>
      <c r="O311" s="131">
        <v>907.83</v>
      </c>
      <c r="P311" s="131">
        <v>260.21</v>
      </c>
      <c r="Q311" s="131">
        <v>349</v>
      </c>
      <c r="R311" s="132"/>
    </row>
    <row r="312" spans="1:18" ht="15">
      <c r="A312" s="130" t="s">
        <v>555</v>
      </c>
      <c r="B312" s="58">
        <v>226</v>
      </c>
      <c r="C312" s="131">
        <v>559.77</v>
      </c>
      <c r="D312" s="131">
        <v>575.58</v>
      </c>
      <c r="E312" s="131">
        <v>489.25</v>
      </c>
      <c r="F312" s="131">
        <v>453.63</v>
      </c>
      <c r="G312" s="131">
        <v>410.27</v>
      </c>
      <c r="H312" s="131">
        <v>195.07</v>
      </c>
      <c r="I312" s="131">
        <v>251.96</v>
      </c>
      <c r="J312" s="131">
        <v>309.64</v>
      </c>
      <c r="K312" s="131">
        <v>283.84</v>
      </c>
      <c r="L312" s="131">
        <v>184.48</v>
      </c>
      <c r="M312" s="131">
        <v>147.61</v>
      </c>
      <c r="N312" s="131">
        <v>525.18</v>
      </c>
      <c r="O312" s="131">
        <v>894.05</v>
      </c>
      <c r="P312" s="131">
        <v>260.21</v>
      </c>
      <c r="Q312" s="131">
        <v>348.63</v>
      </c>
      <c r="R312" s="132"/>
    </row>
    <row r="313" spans="1:18" ht="15">
      <c r="A313" s="130" t="s">
        <v>556</v>
      </c>
      <c r="B313" s="58">
        <v>242</v>
      </c>
      <c r="C313" s="131">
        <v>559.79</v>
      </c>
      <c r="D313" s="131">
        <v>575.59</v>
      </c>
      <c r="E313" s="131">
        <v>489.27</v>
      </c>
      <c r="F313" s="131">
        <v>453.63</v>
      </c>
      <c r="G313" s="131">
        <v>410.29</v>
      </c>
      <c r="H313" s="131">
        <v>195.07</v>
      </c>
      <c r="I313" s="131">
        <v>251.96</v>
      </c>
      <c r="J313" s="131">
        <v>309.66</v>
      </c>
      <c r="K313" s="131">
        <v>283.84</v>
      </c>
      <c r="L313" s="131">
        <v>184.48</v>
      </c>
      <c r="M313" s="131">
        <v>147.61</v>
      </c>
      <c r="N313" s="131">
        <v>525.19</v>
      </c>
      <c r="O313" s="131">
        <v>894.06</v>
      </c>
      <c r="P313" s="131">
        <v>260.21</v>
      </c>
      <c r="Q313" s="131">
        <v>348.63</v>
      </c>
      <c r="R313" s="132"/>
    </row>
    <row r="314" spans="1:18" ht="15">
      <c r="A314" s="130" t="s">
        <v>557</v>
      </c>
      <c r="B314" s="58">
        <v>6</v>
      </c>
      <c r="C314" s="131">
        <v>541.12</v>
      </c>
      <c r="D314" s="131">
        <v>561.11</v>
      </c>
      <c r="E314" s="131">
        <v>480.49</v>
      </c>
      <c r="F314" s="131">
        <v>453.63</v>
      </c>
      <c r="G314" s="131">
        <v>401.852</v>
      </c>
      <c r="H314" s="131">
        <v>182.42</v>
      </c>
      <c r="I314" s="131">
        <v>239.52</v>
      </c>
      <c r="J314" s="131">
        <v>303.29</v>
      </c>
      <c r="K314" s="131">
        <v>277.58</v>
      </c>
      <c r="L314" s="131">
        <v>179.81</v>
      </c>
      <c r="M314" s="131">
        <v>150.77</v>
      </c>
      <c r="N314" s="131">
        <v>517.04</v>
      </c>
      <c r="O314" s="131">
        <v>904.62</v>
      </c>
      <c r="P314" s="131">
        <v>260.21</v>
      </c>
      <c r="Q314" s="131">
        <v>337.07</v>
      </c>
      <c r="R314" s="132"/>
    </row>
    <row r="315" spans="1:17" ht="15">
      <c r="A315" s="130" t="s">
        <v>558</v>
      </c>
      <c r="B315" s="58">
        <v>20</v>
      </c>
      <c r="C315" s="131">
        <v>559.91</v>
      </c>
      <c r="D315" s="131">
        <v>582.31</v>
      </c>
      <c r="E315" s="131">
        <v>497.79</v>
      </c>
      <c r="F315" s="131">
        <v>0</v>
      </c>
      <c r="G315" s="131">
        <v>421.4</v>
      </c>
      <c r="H315" s="131">
        <v>206.52</v>
      </c>
      <c r="I315" s="131">
        <v>262.83</v>
      </c>
      <c r="J315" s="131">
        <v>320.77</v>
      </c>
      <c r="K315" s="131">
        <v>291.2</v>
      </c>
      <c r="L315" s="131">
        <v>189.78</v>
      </c>
      <c r="M315" s="131">
        <v>140.53</v>
      </c>
      <c r="N315" s="131">
        <v>536.62</v>
      </c>
      <c r="O315" s="131">
        <v>913.16</v>
      </c>
      <c r="P315" s="131">
        <v>0</v>
      </c>
      <c r="Q315" s="131">
        <v>357.04</v>
      </c>
    </row>
    <row r="316" spans="1:17" ht="15">
      <c r="A316" s="130" t="s">
        <v>559</v>
      </c>
      <c r="B316" s="58">
        <v>43</v>
      </c>
      <c r="C316" s="131">
        <v>520.09</v>
      </c>
      <c r="D316" s="131">
        <v>543.1</v>
      </c>
      <c r="E316" s="131">
        <v>434.86</v>
      </c>
      <c r="F316" s="131">
        <v>0</v>
      </c>
      <c r="G316" s="131">
        <v>355.5</v>
      </c>
      <c r="H316" s="131">
        <v>211.82</v>
      </c>
      <c r="I316" s="131">
        <v>243.42</v>
      </c>
      <c r="J316" s="131">
        <v>292.54</v>
      </c>
      <c r="K316" s="131">
        <v>302.01</v>
      </c>
      <c r="L316" s="131">
        <v>196.2</v>
      </c>
      <c r="M316" s="131">
        <v>132.53</v>
      </c>
      <c r="N316" s="131">
        <v>463.15</v>
      </c>
      <c r="O316" s="131">
        <v>881.63</v>
      </c>
      <c r="P316" s="131">
        <v>0</v>
      </c>
      <c r="Q316" s="131">
        <v>299.18</v>
      </c>
    </row>
    <row r="317" spans="1:17" ht="15">
      <c r="A317" s="130" t="s">
        <v>560</v>
      </c>
      <c r="B317" s="58">
        <v>62</v>
      </c>
      <c r="C317" s="131">
        <v>492.18</v>
      </c>
      <c r="D317" s="131">
        <v>517.22</v>
      </c>
      <c r="E317" s="131">
        <v>401.48</v>
      </c>
      <c r="F317" s="131">
        <v>0</v>
      </c>
      <c r="G317" s="131">
        <v>315.37</v>
      </c>
      <c r="H317" s="131">
        <v>169.03</v>
      </c>
      <c r="I317" s="131">
        <v>201.19</v>
      </c>
      <c r="J317" s="131">
        <v>255.28</v>
      </c>
      <c r="K317" s="131">
        <v>279.1</v>
      </c>
      <c r="L317" s="131">
        <v>179.42</v>
      </c>
      <c r="M317" s="131">
        <v>121.78</v>
      </c>
      <c r="N317" s="131">
        <v>423.02</v>
      </c>
      <c r="O317" s="131">
        <v>875.37</v>
      </c>
      <c r="P317" s="131">
        <v>0</v>
      </c>
      <c r="Q317" s="131">
        <v>261.54</v>
      </c>
    </row>
    <row r="318" spans="1:17" ht="15">
      <c r="A318" s="130" t="s">
        <v>561</v>
      </c>
      <c r="B318" s="58">
        <v>93</v>
      </c>
      <c r="C318" s="131">
        <v>492.18</v>
      </c>
      <c r="D318" s="131">
        <v>517.21</v>
      </c>
      <c r="E318" s="131">
        <v>336.76</v>
      </c>
      <c r="F318" s="131">
        <v>0</v>
      </c>
      <c r="G318" s="131">
        <v>237.3</v>
      </c>
      <c r="H318" s="131">
        <v>104.67</v>
      </c>
      <c r="I318" s="131">
        <v>134.93</v>
      </c>
      <c r="J318" s="131">
        <v>196.27</v>
      </c>
      <c r="K318" s="131">
        <v>201.06</v>
      </c>
      <c r="L318" s="131">
        <v>129.8</v>
      </c>
      <c r="M318" s="131">
        <v>101.89</v>
      </c>
      <c r="N318" s="131">
        <v>329.43</v>
      </c>
      <c r="O318" s="131">
        <v>628.21</v>
      </c>
      <c r="P318" s="131">
        <v>0</v>
      </c>
      <c r="Q318" s="131">
        <v>172.1</v>
      </c>
    </row>
    <row r="319" spans="1:17" ht="15">
      <c r="A319" s="130" t="s">
        <v>562</v>
      </c>
      <c r="B319" s="58">
        <v>107</v>
      </c>
      <c r="C319" s="131">
        <v>492.18</v>
      </c>
      <c r="D319" s="131">
        <v>517.21</v>
      </c>
      <c r="E319" s="131">
        <v>337.26</v>
      </c>
      <c r="F319" s="131">
        <v>0</v>
      </c>
      <c r="G319" s="131">
        <v>237.55</v>
      </c>
      <c r="H319" s="131">
        <v>104.67</v>
      </c>
      <c r="I319" s="131">
        <v>134.93</v>
      </c>
      <c r="J319" s="131">
        <v>196.52</v>
      </c>
      <c r="K319" s="131">
        <v>201.31</v>
      </c>
      <c r="L319" s="131">
        <v>130.05</v>
      </c>
      <c r="M319" s="131">
        <v>102.14</v>
      </c>
      <c r="N319" s="131">
        <v>329.93</v>
      </c>
      <c r="O319" s="131">
        <v>629.21</v>
      </c>
      <c r="P319" s="131">
        <v>0</v>
      </c>
      <c r="Q319" s="131">
        <v>172.35</v>
      </c>
    </row>
    <row r="320" spans="1:17" ht="15">
      <c r="A320" s="130" t="s">
        <v>563</v>
      </c>
      <c r="B320" s="58">
        <v>110</v>
      </c>
      <c r="C320" s="131">
        <v>492.18</v>
      </c>
      <c r="D320" s="131">
        <v>517.22</v>
      </c>
      <c r="E320" s="131">
        <v>337.26</v>
      </c>
      <c r="F320" s="131">
        <v>0</v>
      </c>
      <c r="G320" s="131">
        <v>237.55</v>
      </c>
      <c r="H320" s="131">
        <v>104.67</v>
      </c>
      <c r="I320" s="131">
        <v>134.93</v>
      </c>
      <c r="J320" s="131">
        <v>196.52</v>
      </c>
      <c r="K320" s="131">
        <v>201.31</v>
      </c>
      <c r="L320" s="131">
        <v>130.05</v>
      </c>
      <c r="M320" s="131">
        <v>102.14</v>
      </c>
      <c r="N320" s="131">
        <v>329.93</v>
      </c>
      <c r="O320" s="131">
        <v>629.21</v>
      </c>
      <c r="P320" s="131">
        <v>0</v>
      </c>
      <c r="Q320" s="131">
        <v>172.35</v>
      </c>
    </row>
    <row r="321" spans="1:17" ht="15">
      <c r="A321" s="130" t="s">
        <v>564</v>
      </c>
      <c r="B321" s="58">
        <v>123</v>
      </c>
      <c r="C321" s="131">
        <v>492.18</v>
      </c>
      <c r="D321" s="131">
        <v>517.22</v>
      </c>
      <c r="E321" s="131">
        <v>295.25</v>
      </c>
      <c r="F321" s="131">
        <v>0</v>
      </c>
      <c r="G321" s="131">
        <v>209.07</v>
      </c>
      <c r="H321" s="131">
        <v>93.44</v>
      </c>
      <c r="I321" s="131">
        <v>110.43</v>
      </c>
      <c r="J321" s="131">
        <v>166.77</v>
      </c>
      <c r="K321" s="131">
        <v>172.23</v>
      </c>
      <c r="L321" s="131">
        <v>112.74</v>
      </c>
      <c r="M321" s="131">
        <v>111.54</v>
      </c>
      <c r="N321" s="131">
        <v>301.08</v>
      </c>
      <c r="O321" s="131">
        <v>635.64</v>
      </c>
      <c r="P321" s="131">
        <v>0</v>
      </c>
      <c r="Q321" s="131">
        <v>154.64</v>
      </c>
    </row>
    <row r="322" spans="1:17" ht="15">
      <c r="A322" s="130" t="s">
        <v>565</v>
      </c>
      <c r="B322" s="58">
        <v>146</v>
      </c>
      <c r="C322" s="131">
        <v>492.18</v>
      </c>
      <c r="D322" s="131">
        <v>517.22</v>
      </c>
      <c r="E322" s="131">
        <v>295.25</v>
      </c>
      <c r="F322" s="131">
        <v>0</v>
      </c>
      <c r="G322" s="131">
        <v>209.07</v>
      </c>
      <c r="H322" s="131">
        <v>93.44</v>
      </c>
      <c r="I322" s="131">
        <v>110.43</v>
      </c>
      <c r="J322" s="131">
        <v>166.77</v>
      </c>
      <c r="K322" s="131">
        <v>172.23</v>
      </c>
      <c r="L322" s="131">
        <v>112.74</v>
      </c>
      <c r="M322" s="131">
        <v>111.54</v>
      </c>
      <c r="N322" s="131">
        <v>301.08</v>
      </c>
      <c r="O322" s="131">
        <v>635.64</v>
      </c>
      <c r="P322" s="131">
        <v>0</v>
      </c>
      <c r="Q322" s="131">
        <v>154.64</v>
      </c>
    </row>
    <row r="323" spans="1:17" ht="15">
      <c r="A323" s="130" t="s">
        <v>567</v>
      </c>
      <c r="B323" s="58">
        <v>158</v>
      </c>
      <c r="C323" s="131">
        <v>492.18</v>
      </c>
      <c r="D323" s="131">
        <v>517.22</v>
      </c>
      <c r="E323" s="131">
        <v>358.05</v>
      </c>
      <c r="F323" s="131">
        <v>0</v>
      </c>
      <c r="G323" s="131">
        <v>269.21</v>
      </c>
      <c r="H323" s="131">
        <v>158.79</v>
      </c>
      <c r="I323" s="131">
        <v>175.83</v>
      </c>
      <c r="J323" s="131">
        <v>225.47</v>
      </c>
      <c r="K323" s="131">
        <v>197.24</v>
      </c>
      <c r="L323" s="131">
        <v>132.77</v>
      </c>
      <c r="M323" s="131">
        <v>140.89</v>
      </c>
      <c r="N323" s="131">
        <v>374.42</v>
      </c>
      <c r="O323" s="131">
        <v>746.87</v>
      </c>
      <c r="P323" s="131">
        <v>0</v>
      </c>
      <c r="Q323" s="131">
        <v>217.43</v>
      </c>
    </row>
    <row r="324" spans="1:17" ht="15">
      <c r="A324" s="130" t="s">
        <v>568</v>
      </c>
      <c r="B324" s="58">
        <v>173</v>
      </c>
      <c r="C324" s="131">
        <v>492.18</v>
      </c>
      <c r="D324" s="131">
        <v>517.22</v>
      </c>
      <c r="E324" s="131">
        <v>358.05</v>
      </c>
      <c r="F324" s="131">
        <v>0</v>
      </c>
      <c r="G324" s="131">
        <v>269.21</v>
      </c>
      <c r="H324" s="131">
        <v>158.79</v>
      </c>
      <c r="I324" s="131">
        <v>175.83</v>
      </c>
      <c r="J324" s="131">
        <v>225.47</v>
      </c>
      <c r="K324" s="131">
        <v>197.24</v>
      </c>
      <c r="L324" s="131">
        <v>132.77</v>
      </c>
      <c r="M324" s="131">
        <v>140.89</v>
      </c>
      <c r="N324" s="131">
        <v>374.42</v>
      </c>
      <c r="O324" s="131">
        <v>746.87</v>
      </c>
      <c r="P324" s="131">
        <v>0</v>
      </c>
      <c r="Q324" s="131">
        <v>217.43</v>
      </c>
    </row>
    <row r="325" spans="1:17" ht="15">
      <c r="A325" s="130" t="s">
        <v>569</v>
      </c>
      <c r="B325" s="58">
        <v>182</v>
      </c>
      <c r="C325" s="131">
        <v>489.64</v>
      </c>
      <c r="D325" s="131">
        <v>509.27</v>
      </c>
      <c r="E325" s="131">
        <v>383.09</v>
      </c>
      <c r="F325" s="131">
        <v>0</v>
      </c>
      <c r="G325" s="131">
        <v>289.7</v>
      </c>
      <c r="H325" s="131">
        <v>177.98</v>
      </c>
      <c r="I325" s="131">
        <v>198.07</v>
      </c>
      <c r="J325" s="131">
        <v>245.52</v>
      </c>
      <c r="K325" s="131">
        <v>226.95</v>
      </c>
      <c r="L325" s="131">
        <v>151.31</v>
      </c>
      <c r="M325" s="131">
        <v>136.92</v>
      </c>
      <c r="N325" s="131">
        <v>393.65</v>
      </c>
      <c r="O325" s="131">
        <v>777.98</v>
      </c>
      <c r="P325" s="131">
        <v>0</v>
      </c>
      <c r="Q325" s="131">
        <v>236.67</v>
      </c>
    </row>
    <row r="326" spans="1:17" ht="15">
      <c r="A326" s="130" t="s">
        <v>570</v>
      </c>
      <c r="B326" s="58">
        <v>191</v>
      </c>
      <c r="C326" s="131">
        <v>488.14</v>
      </c>
      <c r="D326" s="131">
        <v>507.77</v>
      </c>
      <c r="E326" s="131">
        <v>382.09</v>
      </c>
      <c r="F326" s="131">
        <v>0</v>
      </c>
      <c r="G326" s="131">
        <v>289.2</v>
      </c>
      <c r="H326" s="131">
        <v>177.73</v>
      </c>
      <c r="I326" s="131">
        <v>197.82</v>
      </c>
      <c r="J326" s="131">
        <v>245.27</v>
      </c>
      <c r="K326" s="131">
        <v>226.7</v>
      </c>
      <c r="L326" s="131">
        <v>151.06</v>
      </c>
      <c r="M326" s="131">
        <v>136.67</v>
      </c>
      <c r="N326" s="131">
        <v>392.65</v>
      </c>
      <c r="O326" s="131">
        <v>776.48</v>
      </c>
      <c r="P326" s="131">
        <v>0</v>
      </c>
      <c r="Q326" s="131">
        <v>236.42</v>
      </c>
    </row>
    <row r="327" spans="1:17" ht="15">
      <c r="A327" s="130" t="s">
        <v>571</v>
      </c>
      <c r="B327" s="58">
        <v>221</v>
      </c>
      <c r="C327" s="131">
        <v>507.64</v>
      </c>
      <c r="D327" s="131">
        <v>536.45</v>
      </c>
      <c r="E327" s="131">
        <v>432.54</v>
      </c>
      <c r="F327" s="131">
        <v>0</v>
      </c>
      <c r="G327" s="131">
        <v>308</v>
      </c>
      <c r="H327" s="131">
        <v>193.26</v>
      </c>
      <c r="I327" s="131">
        <v>211.4</v>
      </c>
      <c r="J327" s="131">
        <v>259.96</v>
      </c>
      <c r="K327" s="131">
        <v>248.57</v>
      </c>
      <c r="L327" s="131">
        <v>164.6</v>
      </c>
      <c r="M327" s="131">
        <v>146.83</v>
      </c>
      <c r="N327" s="131">
        <v>433.35</v>
      </c>
      <c r="O327" s="131">
        <v>835.2</v>
      </c>
      <c r="P327" s="131">
        <v>0</v>
      </c>
      <c r="Q327" s="131">
        <v>248.42</v>
      </c>
    </row>
    <row r="328" spans="1:17" ht="15">
      <c r="A328" s="130" t="s">
        <v>572</v>
      </c>
      <c r="B328" s="58">
        <v>240</v>
      </c>
      <c r="C328" s="131">
        <v>515.35</v>
      </c>
      <c r="D328" s="131">
        <v>544.95</v>
      </c>
      <c r="E328" s="131">
        <v>424.5</v>
      </c>
      <c r="F328" s="131">
        <v>0</v>
      </c>
      <c r="G328" s="131">
        <v>303.48</v>
      </c>
      <c r="H328" s="131">
        <v>187.8</v>
      </c>
      <c r="I328" s="131">
        <v>204.36</v>
      </c>
      <c r="J328" s="131">
        <v>252.73</v>
      </c>
      <c r="K328" s="131">
        <v>244.92</v>
      </c>
      <c r="L328" s="131">
        <v>162.63</v>
      </c>
      <c r="M328" s="131">
        <v>147.6</v>
      </c>
      <c r="N328" s="131">
        <v>428.38</v>
      </c>
      <c r="O328" s="131">
        <v>853.31</v>
      </c>
      <c r="P328" s="131">
        <v>0</v>
      </c>
      <c r="Q328" s="131">
        <v>246.49</v>
      </c>
    </row>
    <row r="329" spans="1:17" ht="15">
      <c r="A329" s="130" t="s">
        <v>573</v>
      </c>
      <c r="B329" s="58">
        <v>259</v>
      </c>
      <c r="C329" s="131">
        <v>483.21</v>
      </c>
      <c r="D329" s="131">
        <v>507.87</v>
      </c>
      <c r="E329" s="131">
        <v>377.51</v>
      </c>
      <c r="F329" s="131">
        <v>0</v>
      </c>
      <c r="G329" s="131">
        <v>292.37</v>
      </c>
      <c r="H329" s="131">
        <v>184.21</v>
      </c>
      <c r="I329" s="131">
        <v>200.97</v>
      </c>
      <c r="J329" s="131">
        <v>249.08</v>
      </c>
      <c r="K329" s="131">
        <v>236.4</v>
      </c>
      <c r="L329" s="131">
        <v>156.95</v>
      </c>
      <c r="M329" s="131">
        <v>150.28</v>
      </c>
      <c r="N329" s="131">
        <v>398.24</v>
      </c>
      <c r="O329" s="131">
        <v>832.41</v>
      </c>
      <c r="P329" s="131">
        <v>0</v>
      </c>
      <c r="Q329" s="131">
        <v>242.45</v>
      </c>
    </row>
    <row r="330" spans="1:17" ht="15">
      <c r="A330" s="130" t="s">
        <v>574</v>
      </c>
      <c r="B330" s="58">
        <v>267</v>
      </c>
      <c r="C330" s="131">
        <v>488.206</v>
      </c>
      <c r="D330" s="131">
        <v>509.12</v>
      </c>
      <c r="E330" s="131">
        <v>378.26</v>
      </c>
      <c r="F330" s="131">
        <v>0</v>
      </c>
      <c r="G330" s="131">
        <v>292.62</v>
      </c>
      <c r="H330" s="131">
        <v>184.21</v>
      </c>
      <c r="I330" s="131">
        <v>200.97</v>
      </c>
      <c r="J330" s="131">
        <v>249.33</v>
      </c>
      <c r="K330" s="131">
        <v>236.65</v>
      </c>
      <c r="L330" s="131">
        <v>157.2</v>
      </c>
      <c r="M330" s="131">
        <v>150.53</v>
      </c>
      <c r="N330" s="131">
        <v>398.99</v>
      </c>
      <c r="O330" s="131">
        <v>833.66</v>
      </c>
      <c r="P330" s="131">
        <v>0</v>
      </c>
      <c r="Q330" s="131">
        <v>242.7</v>
      </c>
    </row>
    <row r="331" spans="1:17" ht="15">
      <c r="A331" s="130" t="s">
        <v>575</v>
      </c>
      <c r="B331" s="58">
        <v>283</v>
      </c>
      <c r="C331" s="131">
        <v>466.55</v>
      </c>
      <c r="D331" s="131">
        <v>489.4</v>
      </c>
      <c r="E331" s="131">
        <v>387.27</v>
      </c>
      <c r="F331" s="131">
        <v>0</v>
      </c>
      <c r="G331" s="131">
        <v>301.51</v>
      </c>
      <c r="H331" s="131">
        <v>191.73</v>
      </c>
      <c r="I331" s="131">
        <v>209.82</v>
      </c>
      <c r="J331" s="131">
        <v>255.75</v>
      </c>
      <c r="K331" s="131">
        <v>240.9</v>
      </c>
      <c r="L331" s="131">
        <v>160.28</v>
      </c>
      <c r="M331" s="131">
        <v>165.31</v>
      </c>
      <c r="N331" s="131">
        <v>408.43</v>
      </c>
      <c r="O331" s="131">
        <v>815.02</v>
      </c>
      <c r="P331" s="131">
        <v>0</v>
      </c>
      <c r="Q331" s="131">
        <v>245.49</v>
      </c>
    </row>
    <row r="332" spans="1:17" ht="15">
      <c r="A332" s="130" t="s">
        <v>576</v>
      </c>
      <c r="B332" s="58">
        <v>294</v>
      </c>
      <c r="C332" s="131">
        <v>466.55</v>
      </c>
      <c r="D332" s="131">
        <v>489.4</v>
      </c>
      <c r="E332" s="131">
        <v>387.27</v>
      </c>
      <c r="F332" s="131">
        <v>0</v>
      </c>
      <c r="G332" s="131">
        <v>301.51</v>
      </c>
      <c r="H332" s="131">
        <v>191.73</v>
      </c>
      <c r="I332" s="131">
        <v>209.82</v>
      </c>
      <c r="J332" s="131">
        <v>255.75</v>
      </c>
      <c r="K332" s="131">
        <v>240.9</v>
      </c>
      <c r="L332" s="131">
        <v>160.28</v>
      </c>
      <c r="M332" s="131">
        <v>165.31</v>
      </c>
      <c r="N332" s="131">
        <v>408.43</v>
      </c>
      <c r="O332" s="131">
        <v>815.02</v>
      </c>
      <c r="P332" s="131">
        <v>0</v>
      </c>
      <c r="Q332" s="131">
        <v>245.49</v>
      </c>
    </row>
    <row r="333" spans="1:17" ht="15">
      <c r="A333" s="130" t="s">
        <v>577</v>
      </c>
      <c r="B333" s="58">
        <v>6</v>
      </c>
      <c r="C333" s="131">
        <v>495.46</v>
      </c>
      <c r="D333" s="131">
        <v>515.93</v>
      </c>
      <c r="E333" s="131">
        <v>416.01</v>
      </c>
      <c r="F333" s="131">
        <v>0</v>
      </c>
      <c r="G333" s="131">
        <v>333.51</v>
      </c>
      <c r="H333" s="131">
        <v>213.11</v>
      </c>
      <c r="I333" s="131">
        <v>236.53</v>
      </c>
      <c r="J333" s="131">
        <v>283.32</v>
      </c>
      <c r="K333" s="131">
        <v>249.01</v>
      </c>
      <c r="L333" s="131">
        <v>168.03</v>
      </c>
      <c r="M333" s="131">
        <v>172.1</v>
      </c>
      <c r="N333" s="131">
        <v>428.57</v>
      </c>
      <c r="O333" s="131">
        <v>834.2</v>
      </c>
      <c r="P333" s="131">
        <v>0</v>
      </c>
      <c r="Q333" s="131">
        <v>274.74</v>
      </c>
    </row>
    <row r="334" spans="1:17" ht="15">
      <c r="A334" s="130" t="s">
        <v>578</v>
      </c>
      <c r="B334" s="58">
        <v>19</v>
      </c>
      <c r="C334" s="131">
        <v>522.41</v>
      </c>
      <c r="D334" s="131">
        <v>538.01</v>
      </c>
      <c r="E334" s="131">
        <v>435.86</v>
      </c>
      <c r="F334" s="131">
        <v>0</v>
      </c>
      <c r="G334" s="131">
        <v>347.78</v>
      </c>
      <c r="H334" s="131">
        <v>232.23</v>
      </c>
      <c r="I334" s="131">
        <v>256.87</v>
      </c>
      <c r="J334" s="131">
        <v>298.89</v>
      </c>
      <c r="K334" s="131">
        <v>283.58</v>
      </c>
      <c r="L334" s="131">
        <v>188.65</v>
      </c>
      <c r="M334" s="131">
        <v>204.18</v>
      </c>
      <c r="N334" s="131">
        <v>444.37</v>
      </c>
      <c r="O334" s="131">
        <v>860.03</v>
      </c>
      <c r="P334" s="131">
        <v>0</v>
      </c>
      <c r="Q334" s="131">
        <v>293.62</v>
      </c>
    </row>
    <row r="335" spans="1:17" ht="15">
      <c r="A335" s="130" t="s">
        <v>579</v>
      </c>
      <c r="B335" s="58">
        <v>27</v>
      </c>
      <c r="C335" s="131">
        <v>523.91</v>
      </c>
      <c r="D335" s="131">
        <v>539.51</v>
      </c>
      <c r="E335" s="131">
        <v>436.86</v>
      </c>
      <c r="F335" s="131">
        <v>0</v>
      </c>
      <c r="G335" s="131">
        <v>348.28</v>
      </c>
      <c r="H335" s="131">
        <v>232.48</v>
      </c>
      <c r="I335" s="131">
        <v>257.12</v>
      </c>
      <c r="J335" s="131">
        <v>299.14</v>
      </c>
      <c r="K335" s="131">
        <v>283.83</v>
      </c>
      <c r="L335" s="131">
        <v>188.9</v>
      </c>
      <c r="M335" s="131">
        <v>204.43</v>
      </c>
      <c r="N335" s="131">
        <v>445.37</v>
      </c>
      <c r="O335" s="131">
        <v>861.53</v>
      </c>
      <c r="P335" s="131">
        <v>0</v>
      </c>
      <c r="Q335" s="131">
        <v>293.87</v>
      </c>
    </row>
    <row r="336" spans="1:17" ht="15">
      <c r="A336" s="130" t="s">
        <v>580</v>
      </c>
      <c r="B336" s="58">
        <v>42</v>
      </c>
      <c r="C336" s="131">
        <v>561.55</v>
      </c>
      <c r="D336" s="131">
        <v>576.6</v>
      </c>
      <c r="E336" s="131">
        <v>468.78</v>
      </c>
      <c r="F336" s="131">
        <v>0</v>
      </c>
      <c r="G336" s="131">
        <v>373.21</v>
      </c>
      <c r="H336" s="131">
        <v>253.56</v>
      </c>
      <c r="I336" s="131">
        <v>282.76</v>
      </c>
      <c r="J336" s="131">
        <v>318.68</v>
      </c>
      <c r="K336" s="131">
        <v>323.71</v>
      </c>
      <c r="L336" s="131">
        <v>212.42</v>
      </c>
      <c r="M336" s="131">
        <v>216.36</v>
      </c>
      <c r="N336" s="131">
        <v>468.09</v>
      </c>
      <c r="O336" s="131">
        <v>883.49</v>
      </c>
      <c r="P336" s="131">
        <v>0</v>
      </c>
      <c r="Q336" s="131">
        <v>320.56</v>
      </c>
    </row>
    <row r="337" spans="1:17" ht="15">
      <c r="A337" s="77" t="s">
        <v>581</v>
      </c>
      <c r="B337" s="14">
        <v>65</v>
      </c>
      <c r="C337" s="133">
        <v>616.21</v>
      </c>
      <c r="D337" s="7">
        <v>633.03</v>
      </c>
      <c r="E337" s="7">
        <v>504.96</v>
      </c>
      <c r="F337" s="131">
        <v>0</v>
      </c>
      <c r="G337" s="7">
        <v>402.67</v>
      </c>
      <c r="H337" s="7">
        <v>279.15</v>
      </c>
      <c r="I337" s="7">
        <v>314.7</v>
      </c>
      <c r="J337" s="7">
        <v>347.93</v>
      </c>
      <c r="K337" s="7">
        <v>341.4</v>
      </c>
      <c r="L337" s="7">
        <v>224.69</v>
      </c>
      <c r="M337" s="7">
        <v>234.78</v>
      </c>
      <c r="N337" s="7">
        <v>498.79</v>
      </c>
      <c r="O337" s="7">
        <v>934.47</v>
      </c>
      <c r="P337" s="7">
        <v>0</v>
      </c>
      <c r="Q337" s="7">
        <v>357.51</v>
      </c>
    </row>
    <row r="338" spans="1:17" ht="15">
      <c r="A338" s="77" t="s">
        <v>582</v>
      </c>
      <c r="B338" s="14">
        <v>80</v>
      </c>
      <c r="C338" s="133">
        <v>622.61</v>
      </c>
      <c r="D338" s="7">
        <v>641.52</v>
      </c>
      <c r="E338" s="7">
        <v>487.34</v>
      </c>
      <c r="F338" s="131">
        <v>0</v>
      </c>
      <c r="G338" s="7">
        <v>388.28</v>
      </c>
      <c r="H338" s="7">
        <v>264.11</v>
      </c>
      <c r="I338" s="7">
        <v>297.93</v>
      </c>
      <c r="J338" s="7">
        <v>330.5</v>
      </c>
      <c r="K338" s="7">
        <v>339.01</v>
      </c>
      <c r="L338" s="7">
        <v>221.96</v>
      </c>
      <c r="M338" s="7">
        <v>224.27</v>
      </c>
      <c r="N338" s="7">
        <v>485.19</v>
      </c>
      <c r="O338" s="7">
        <v>940.18</v>
      </c>
      <c r="P338" s="7">
        <v>0</v>
      </c>
      <c r="Q338" s="7">
        <v>345.87</v>
      </c>
    </row>
    <row r="339" spans="1:17" ht="15">
      <c r="A339" s="77" t="s">
        <v>583</v>
      </c>
      <c r="B339" s="14">
        <v>83</v>
      </c>
      <c r="C339" s="133">
        <v>622.36</v>
      </c>
      <c r="D339" s="7">
        <v>641.27</v>
      </c>
      <c r="E339" s="7">
        <v>486.35</v>
      </c>
      <c r="F339" s="131">
        <v>0</v>
      </c>
      <c r="G339" s="7">
        <v>388.28</v>
      </c>
      <c r="H339" s="7">
        <v>264.11</v>
      </c>
      <c r="I339" s="7">
        <v>297.93</v>
      </c>
      <c r="J339" s="7">
        <v>330.5</v>
      </c>
      <c r="K339" s="7">
        <v>339.01</v>
      </c>
      <c r="L339" s="7">
        <v>221.96</v>
      </c>
      <c r="M339" s="7">
        <v>224.27</v>
      </c>
      <c r="N339" s="7">
        <v>485.19</v>
      </c>
      <c r="O339" s="7">
        <v>939.93</v>
      </c>
      <c r="P339" s="7">
        <v>0</v>
      </c>
      <c r="Q339" s="7">
        <v>345.87</v>
      </c>
    </row>
    <row r="340" spans="1:17" ht="15">
      <c r="A340" s="77" t="s">
        <v>584</v>
      </c>
      <c r="B340" s="14">
        <v>104</v>
      </c>
      <c r="C340" s="133">
        <v>643.55</v>
      </c>
      <c r="D340" s="7">
        <v>663.11</v>
      </c>
      <c r="E340" s="7">
        <v>520.25</v>
      </c>
      <c r="F340" s="131">
        <v>0</v>
      </c>
      <c r="G340" s="7">
        <v>413.81</v>
      </c>
      <c r="H340" s="7">
        <v>288.8</v>
      </c>
      <c r="I340" s="7">
        <v>327.65</v>
      </c>
      <c r="J340" s="7">
        <v>353.12</v>
      </c>
      <c r="K340" s="7">
        <v>332.29</v>
      </c>
      <c r="L340" s="7">
        <v>220.48</v>
      </c>
      <c r="M340" s="7">
        <v>211.46</v>
      </c>
      <c r="N340" s="7">
        <v>509.99</v>
      </c>
      <c r="O340" s="7">
        <v>959.58</v>
      </c>
      <c r="P340" s="7">
        <v>0</v>
      </c>
      <c r="Q340" s="7">
        <v>369.6</v>
      </c>
    </row>
    <row r="341" spans="1:17" ht="15">
      <c r="A341" s="77" t="s">
        <v>585</v>
      </c>
      <c r="B341" s="14">
        <v>113</v>
      </c>
      <c r="C341" s="133">
        <v>643.55</v>
      </c>
      <c r="D341" s="7">
        <v>663.11</v>
      </c>
      <c r="E341" s="7">
        <v>520.25</v>
      </c>
      <c r="F341" s="131">
        <v>0</v>
      </c>
      <c r="G341" s="7">
        <v>413.81</v>
      </c>
      <c r="H341" s="7">
        <v>288.8</v>
      </c>
      <c r="I341" s="7">
        <v>327.65</v>
      </c>
      <c r="J341" s="7">
        <v>353.12</v>
      </c>
      <c r="K341" s="7">
        <v>332.29</v>
      </c>
      <c r="L341" s="7">
        <v>220.48</v>
      </c>
      <c r="M341" s="7">
        <v>211.46</v>
      </c>
      <c r="N341" s="7">
        <v>509.99</v>
      </c>
      <c r="O341" s="7">
        <v>959.58</v>
      </c>
      <c r="P341" s="7">
        <v>0</v>
      </c>
      <c r="Q341" s="7">
        <v>369.6</v>
      </c>
    </row>
    <row r="342" spans="1:17" ht="15">
      <c r="A342" s="77" t="s">
        <v>588</v>
      </c>
      <c r="B342" s="14">
        <v>124</v>
      </c>
      <c r="C342" s="133">
        <v>639.4</v>
      </c>
      <c r="D342" s="7">
        <v>661.71</v>
      </c>
      <c r="E342" s="7">
        <v>521.61</v>
      </c>
      <c r="F342" s="131">
        <v>0</v>
      </c>
      <c r="G342" s="7">
        <v>422.1</v>
      </c>
      <c r="H342" s="7">
        <v>295.4</v>
      </c>
      <c r="I342" s="7">
        <v>339.26</v>
      </c>
      <c r="J342" s="7">
        <v>359.71</v>
      </c>
      <c r="K342" s="7">
        <v>345.65</v>
      </c>
      <c r="L342" s="7">
        <v>228.82</v>
      </c>
      <c r="M342" s="7">
        <v>233.19</v>
      </c>
      <c r="N342" s="7">
        <v>516.82</v>
      </c>
      <c r="O342" s="7">
        <v>943.8</v>
      </c>
      <c r="P342" s="7">
        <v>0</v>
      </c>
      <c r="Q342" s="7">
        <v>380.9</v>
      </c>
    </row>
    <row r="343" spans="1:17" ht="15">
      <c r="A343" s="77" t="s">
        <v>587</v>
      </c>
      <c r="B343" s="14">
        <v>144</v>
      </c>
      <c r="C343" s="133">
        <v>653.67</v>
      </c>
      <c r="D343" s="7">
        <v>678.04</v>
      </c>
      <c r="E343" s="7">
        <v>525.54</v>
      </c>
      <c r="F343" s="131">
        <v>0</v>
      </c>
      <c r="G343" s="7">
        <v>434.62</v>
      </c>
      <c r="H343" s="7">
        <v>309.8</v>
      </c>
      <c r="I343" s="7">
        <v>350.89</v>
      </c>
      <c r="J343" s="7">
        <v>368.19</v>
      </c>
      <c r="K343" s="7">
        <v>373.95</v>
      </c>
      <c r="L343" s="7">
        <v>245.69</v>
      </c>
      <c r="M343" s="7">
        <v>264.39</v>
      </c>
      <c r="N343" s="7">
        <v>530.39</v>
      </c>
      <c r="O343" s="7">
        <v>969.22</v>
      </c>
      <c r="P343" s="7">
        <v>0</v>
      </c>
      <c r="Q343" s="7">
        <v>394.85</v>
      </c>
    </row>
    <row r="344" spans="1:17" ht="15">
      <c r="A344" s="77" t="s">
        <v>586</v>
      </c>
      <c r="B344" s="14">
        <v>154</v>
      </c>
      <c r="C344" s="133">
        <v>655.67</v>
      </c>
      <c r="D344" s="7">
        <v>680.036</v>
      </c>
      <c r="E344" s="7">
        <v>526.79</v>
      </c>
      <c r="F344" s="131">
        <v>0</v>
      </c>
      <c r="G344" s="7">
        <v>435.12</v>
      </c>
      <c r="H344" s="7">
        <v>310.05</v>
      </c>
      <c r="I344" s="7">
        <v>351.14</v>
      </c>
      <c r="J344" s="7">
        <v>368.69</v>
      </c>
      <c r="K344" s="7">
        <v>374.45</v>
      </c>
      <c r="L344" s="7">
        <v>245.94</v>
      </c>
      <c r="M344" s="7">
        <v>264.89</v>
      </c>
      <c r="N344" s="7">
        <v>531.64</v>
      </c>
      <c r="O344" s="7">
        <v>971.22</v>
      </c>
      <c r="P344" s="7">
        <v>0</v>
      </c>
      <c r="Q344" s="7">
        <v>395.1</v>
      </c>
    </row>
    <row r="345" spans="1:17" ht="15">
      <c r="A345" s="77" t="s">
        <v>589</v>
      </c>
      <c r="B345" s="14">
        <v>167</v>
      </c>
      <c r="C345" s="133">
        <v>647.27</v>
      </c>
      <c r="D345" s="7">
        <v>669.54</v>
      </c>
      <c r="E345" s="7">
        <v>517.53</v>
      </c>
      <c r="F345" s="131">
        <v>0</v>
      </c>
      <c r="G345" s="7">
        <v>427.87</v>
      </c>
      <c r="H345" s="7">
        <v>300.6</v>
      </c>
      <c r="I345" s="7">
        <v>343.62</v>
      </c>
      <c r="J345" s="7">
        <v>362.64</v>
      </c>
      <c r="K345" s="7">
        <v>362.57</v>
      </c>
      <c r="L345" s="7">
        <v>238.47</v>
      </c>
      <c r="M345" s="7">
        <v>272.86</v>
      </c>
      <c r="N345" s="7">
        <v>536.63</v>
      </c>
      <c r="O345" s="7">
        <v>996.41</v>
      </c>
      <c r="P345" s="7">
        <v>0</v>
      </c>
      <c r="Q345" s="7">
        <v>392.46</v>
      </c>
    </row>
    <row r="346" spans="1:17" ht="15">
      <c r="A346" s="77" t="s">
        <v>590</v>
      </c>
      <c r="B346" s="14">
        <v>187</v>
      </c>
      <c r="C346" s="133">
        <v>643.62</v>
      </c>
      <c r="D346" s="7">
        <v>663.2</v>
      </c>
      <c r="E346" s="7">
        <v>524.88</v>
      </c>
      <c r="F346" s="131">
        <v>0</v>
      </c>
      <c r="G346" s="7">
        <v>440.61</v>
      </c>
      <c r="H346" s="7">
        <v>317.36</v>
      </c>
      <c r="I346" s="7">
        <v>357.86</v>
      </c>
      <c r="J346" s="7">
        <v>376.75</v>
      </c>
      <c r="K346" s="7">
        <v>344.246</v>
      </c>
      <c r="L346" s="7">
        <v>231.416</v>
      </c>
      <c r="M346" s="7">
        <v>289.22</v>
      </c>
      <c r="N346" s="7">
        <v>549.52</v>
      </c>
      <c r="O346" s="7">
        <v>981.12</v>
      </c>
      <c r="P346" s="7">
        <v>0</v>
      </c>
      <c r="Q346" s="7">
        <v>401.35</v>
      </c>
    </row>
    <row r="347" spans="1:17" ht="15">
      <c r="A347" s="77" t="s">
        <v>591</v>
      </c>
      <c r="B347" s="14">
        <v>207</v>
      </c>
      <c r="C347" s="133">
        <v>649.72</v>
      </c>
      <c r="D347" s="7">
        <v>664.98</v>
      </c>
      <c r="E347" s="7">
        <v>549.08</v>
      </c>
      <c r="F347" s="131">
        <v>0</v>
      </c>
      <c r="G347" s="7">
        <v>481.51</v>
      </c>
      <c r="H347" s="7">
        <v>350.24</v>
      </c>
      <c r="I347" s="7">
        <v>394.61</v>
      </c>
      <c r="J347" s="7">
        <v>413.32</v>
      </c>
      <c r="K347" s="7">
        <v>375.91</v>
      </c>
      <c r="L347" s="7">
        <v>250.52</v>
      </c>
      <c r="M347" s="7">
        <v>336.16</v>
      </c>
      <c r="N347" s="7">
        <v>576.14</v>
      </c>
      <c r="O347" s="7">
        <v>987.35</v>
      </c>
      <c r="P347" s="7">
        <v>0</v>
      </c>
      <c r="Q347" s="7">
        <v>434.86</v>
      </c>
    </row>
    <row r="348" spans="1:17" ht="15">
      <c r="A348" s="77" t="s">
        <v>592</v>
      </c>
      <c r="B348" s="14">
        <v>219</v>
      </c>
      <c r="C348" s="133">
        <v>651.47</v>
      </c>
      <c r="D348" s="7">
        <v>666.73</v>
      </c>
      <c r="E348" s="7">
        <v>550.08</v>
      </c>
      <c r="F348" s="131">
        <v>0</v>
      </c>
      <c r="G348" s="7">
        <v>482.01</v>
      </c>
      <c r="H348" s="7">
        <v>350.49</v>
      </c>
      <c r="I348" s="7">
        <v>394.86</v>
      </c>
      <c r="J348" s="7">
        <v>413.57</v>
      </c>
      <c r="K348" s="7">
        <v>376.16</v>
      </c>
      <c r="L348" s="7">
        <v>250.77</v>
      </c>
      <c r="M348" s="7">
        <v>336.41</v>
      </c>
      <c r="N348" s="7">
        <v>577.14</v>
      </c>
      <c r="O348" s="7">
        <v>989.1</v>
      </c>
      <c r="P348" s="7">
        <v>0</v>
      </c>
      <c r="Q348" s="7">
        <v>435.11</v>
      </c>
    </row>
    <row r="349" spans="1:17" ht="15">
      <c r="A349" s="77" t="s">
        <v>593</v>
      </c>
      <c r="B349" s="14">
        <v>231</v>
      </c>
      <c r="C349" s="133">
        <v>678.96</v>
      </c>
      <c r="D349" s="7">
        <v>694.73</v>
      </c>
      <c r="E349" s="7">
        <v>577.42</v>
      </c>
      <c r="F349" s="131">
        <v>0</v>
      </c>
      <c r="G349" s="7">
        <v>511.31</v>
      </c>
      <c r="H349" s="7">
        <v>347.6</v>
      </c>
      <c r="I349" s="7">
        <v>403.29</v>
      </c>
      <c r="J349" s="7">
        <v>425.94</v>
      </c>
      <c r="K349" s="7">
        <v>414.74</v>
      </c>
      <c r="L349" s="7">
        <v>272.09</v>
      </c>
      <c r="M349" s="7">
        <v>337.64</v>
      </c>
      <c r="N349" s="7">
        <v>605.54</v>
      </c>
      <c r="O349" s="7">
        <v>1036.03</v>
      </c>
      <c r="P349" s="7">
        <v>0</v>
      </c>
      <c r="Q349" s="7">
        <v>463.09</v>
      </c>
    </row>
    <row r="350" spans="1:17" ht="15">
      <c r="A350" s="77" t="s">
        <v>594</v>
      </c>
      <c r="B350" s="14">
        <v>247</v>
      </c>
      <c r="C350" s="133">
        <v>642.75</v>
      </c>
      <c r="D350" s="7">
        <v>626.01</v>
      </c>
      <c r="E350" s="7">
        <v>539.76</v>
      </c>
      <c r="F350" s="131">
        <v>0</v>
      </c>
      <c r="G350" s="7">
        <v>464.03</v>
      </c>
      <c r="H350" s="7">
        <v>300.39</v>
      </c>
      <c r="I350" s="7">
        <v>349.18</v>
      </c>
      <c r="J350" s="7">
        <v>376.78</v>
      </c>
      <c r="K350" s="7">
        <v>399.27</v>
      </c>
      <c r="L350" s="7">
        <v>257.63</v>
      </c>
      <c r="M350" s="7">
        <v>262.35</v>
      </c>
      <c r="N350" s="7">
        <v>574.4</v>
      </c>
      <c r="O350" s="7">
        <v>975.04</v>
      </c>
      <c r="P350" s="7">
        <v>0</v>
      </c>
      <c r="Q350" s="7">
        <v>410.24</v>
      </c>
    </row>
    <row r="351" spans="1:17" ht="15">
      <c r="A351" s="77" t="s">
        <v>596</v>
      </c>
      <c r="B351" s="14">
        <v>8</v>
      </c>
      <c r="C351" s="133">
        <v>642.75</v>
      </c>
      <c r="D351" s="7">
        <v>626.01</v>
      </c>
      <c r="E351" s="7">
        <v>539.76</v>
      </c>
      <c r="F351" s="131">
        <v>0</v>
      </c>
      <c r="G351" s="7">
        <v>464.03</v>
      </c>
      <c r="H351" s="7">
        <v>300.39</v>
      </c>
      <c r="I351" s="7">
        <v>349.18</v>
      </c>
      <c r="J351" s="7">
        <v>376.78</v>
      </c>
      <c r="K351" s="7">
        <v>399.27</v>
      </c>
      <c r="L351" s="7">
        <v>257.63</v>
      </c>
      <c r="M351" s="7">
        <v>234.35</v>
      </c>
      <c r="N351" s="7">
        <v>574.4</v>
      </c>
      <c r="O351" s="7">
        <v>975.04</v>
      </c>
      <c r="P351" s="7">
        <v>0</v>
      </c>
      <c r="Q351" s="7">
        <v>410.24</v>
      </c>
    </row>
    <row r="352" spans="1:17" ht="15">
      <c r="A352" s="77" t="s">
        <v>597</v>
      </c>
      <c r="B352" s="14">
        <v>20</v>
      </c>
      <c r="C352" s="133">
        <v>672.64</v>
      </c>
      <c r="D352" s="7">
        <v>688.73</v>
      </c>
      <c r="E352" s="7">
        <v>596.75</v>
      </c>
      <c r="F352" s="131">
        <v>0</v>
      </c>
      <c r="G352" s="7">
        <v>521.42</v>
      </c>
      <c r="H352" s="7">
        <v>357.82</v>
      </c>
      <c r="I352" s="7">
        <v>411.01</v>
      </c>
      <c r="J352" s="7">
        <v>433.85</v>
      </c>
      <c r="K352" s="7">
        <v>399.63</v>
      </c>
      <c r="L352" s="7">
        <v>265.17</v>
      </c>
      <c r="M352" s="7">
        <v>267.42</v>
      </c>
      <c r="N352" s="7">
        <v>633.14</v>
      </c>
      <c r="O352" s="7">
        <v>993.01</v>
      </c>
      <c r="P352" s="7">
        <v>0</v>
      </c>
      <c r="Q352" s="7">
        <v>466.3</v>
      </c>
    </row>
    <row r="353" spans="1:17" ht="15">
      <c r="A353" s="77" t="s">
        <v>598</v>
      </c>
      <c r="B353" s="14">
        <v>27</v>
      </c>
      <c r="C353" s="133">
        <v>677.136</v>
      </c>
      <c r="D353" s="7">
        <v>693.48</v>
      </c>
      <c r="E353" s="7">
        <v>599.5</v>
      </c>
      <c r="F353" s="131">
        <v>0</v>
      </c>
      <c r="G353" s="7">
        <v>522.416</v>
      </c>
      <c r="H353" s="7">
        <v>358.32</v>
      </c>
      <c r="I353" s="7">
        <v>411.51</v>
      </c>
      <c r="J353" s="7">
        <v>434.85</v>
      </c>
      <c r="K353" s="7">
        <v>400.63</v>
      </c>
      <c r="L353" s="7">
        <v>265.92</v>
      </c>
      <c r="M353" s="7">
        <v>267.42</v>
      </c>
      <c r="N353" s="7">
        <v>635.89</v>
      </c>
      <c r="O353" s="7">
        <v>997.76</v>
      </c>
      <c r="P353" s="7">
        <v>0</v>
      </c>
      <c r="Q353" s="7">
        <v>467.05</v>
      </c>
    </row>
    <row r="354" spans="1:17" ht="15">
      <c r="A354" s="77" t="s">
        <v>599</v>
      </c>
      <c r="B354" s="14">
        <v>40</v>
      </c>
      <c r="C354" s="133">
        <v>732.9</v>
      </c>
      <c r="D354" s="7">
        <v>750.65</v>
      </c>
      <c r="E354" s="7">
        <v>652.6</v>
      </c>
      <c r="F354" s="131">
        <v>0</v>
      </c>
      <c r="G354" s="7">
        <v>568.89</v>
      </c>
      <c r="H354" s="7">
        <v>406.19</v>
      </c>
      <c r="I354" s="7">
        <v>467.33</v>
      </c>
      <c r="J354" s="7">
        <v>479.73</v>
      </c>
      <c r="K354" s="7">
        <v>447.836</v>
      </c>
      <c r="L354" s="7">
        <v>295.76</v>
      </c>
      <c r="M354" s="7">
        <v>291.11</v>
      </c>
      <c r="N354" s="7">
        <v>677.79</v>
      </c>
      <c r="O354" s="7">
        <v>1009.54</v>
      </c>
      <c r="P354" s="7">
        <v>0</v>
      </c>
      <c r="Q354" s="7">
        <v>522.75</v>
      </c>
    </row>
    <row r="355" spans="1:17" ht="15">
      <c r="A355" s="77" t="s">
        <v>600</v>
      </c>
      <c r="B355" s="14">
        <v>61</v>
      </c>
      <c r="C355" s="133">
        <v>817.91</v>
      </c>
      <c r="D355" s="7">
        <v>838.24</v>
      </c>
      <c r="E355" s="7">
        <v>773.41</v>
      </c>
      <c r="F355" s="131">
        <v>0</v>
      </c>
      <c r="G355" s="7">
        <v>668.79</v>
      </c>
      <c r="H355" s="7">
        <v>464.67</v>
      </c>
      <c r="I355" s="7">
        <v>554.21</v>
      </c>
      <c r="J355" s="7">
        <v>567</v>
      </c>
      <c r="K355" s="7">
        <v>494.53</v>
      </c>
      <c r="L355" s="7">
        <v>327.71</v>
      </c>
      <c r="M355" s="7">
        <v>337.08</v>
      </c>
      <c r="N355" s="7">
        <v>777.58</v>
      </c>
      <c r="O355" s="7">
        <v>1089.41</v>
      </c>
      <c r="P355" s="7">
        <v>0</v>
      </c>
      <c r="Q355" s="7">
        <v>618.9</v>
      </c>
    </row>
    <row r="356" spans="1:17" ht="15">
      <c r="A356" s="77" t="s">
        <v>601</v>
      </c>
      <c r="B356" s="14">
        <v>81</v>
      </c>
      <c r="C356" s="133">
        <v>856.01</v>
      </c>
      <c r="D356" s="7">
        <v>880.3</v>
      </c>
      <c r="E356" s="7">
        <v>832.65</v>
      </c>
      <c r="F356" s="131">
        <v>0</v>
      </c>
      <c r="G356" s="7">
        <v>768.15</v>
      </c>
      <c r="H356" s="7">
        <v>477.36</v>
      </c>
      <c r="I356" s="7">
        <v>578.93</v>
      </c>
      <c r="J356" s="7">
        <v>857.63</v>
      </c>
      <c r="K356" s="7">
        <v>551.02</v>
      </c>
      <c r="L356" s="7">
        <v>360.5</v>
      </c>
      <c r="M356" s="7">
        <v>320.12</v>
      </c>
      <c r="N356" s="7">
        <v>890.91</v>
      </c>
      <c r="O356" s="7">
        <v>1210.64</v>
      </c>
      <c r="P356" s="7">
        <v>0</v>
      </c>
      <c r="Q356" s="7">
        <v>694.6</v>
      </c>
    </row>
    <row r="357" spans="1:17" ht="15">
      <c r="A357" s="77" t="s">
        <v>603</v>
      </c>
      <c r="B357" s="14">
        <v>90</v>
      </c>
      <c r="C357" s="133">
        <v>862.26</v>
      </c>
      <c r="D357" s="7">
        <v>886.8</v>
      </c>
      <c r="E357" s="7">
        <v>836.4</v>
      </c>
      <c r="F357" s="131">
        <v>0</v>
      </c>
      <c r="G357" s="7">
        <v>769.9</v>
      </c>
      <c r="H357" s="7">
        <v>477.86</v>
      </c>
      <c r="I357" s="7">
        <v>579.43</v>
      </c>
      <c r="J357" s="7">
        <v>588.88</v>
      </c>
      <c r="K357" s="7">
        <v>552.27</v>
      </c>
      <c r="L357" s="7">
        <v>361.5</v>
      </c>
      <c r="M357" s="7">
        <v>320.12</v>
      </c>
      <c r="N357" s="7">
        <v>894.66</v>
      </c>
      <c r="O357" s="7">
        <v>1216.89</v>
      </c>
      <c r="P357" s="7">
        <v>0</v>
      </c>
      <c r="Q357" s="7">
        <v>695.6</v>
      </c>
    </row>
  </sheetData>
  <sheetProtection/>
  <mergeCells count="8">
    <mergeCell ref="O3:O4"/>
    <mergeCell ref="A1:Q2"/>
    <mergeCell ref="B3:B4"/>
    <mergeCell ref="A3:A4"/>
    <mergeCell ref="G3:G4"/>
    <mergeCell ref="H3:H4"/>
    <mergeCell ref="K3:K4"/>
    <mergeCell ref="N3:N4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0"/>
  <sheetViews>
    <sheetView zoomScalePageLayoutView="0" workbookViewId="0" topLeftCell="A1">
      <pane ySplit="5" topLeftCell="A385" activePane="bottomLeft" state="frozen"/>
      <selection pane="topLeft" activeCell="A1" sqref="A1"/>
      <selection pane="bottomLeft" activeCell="Q410" sqref="Q410"/>
    </sheetView>
  </sheetViews>
  <sheetFormatPr defaultColWidth="11.421875" defaultRowHeight="12.75"/>
  <cols>
    <col min="1" max="1" width="32.7109375" style="0" bestFit="1" customWidth="1"/>
    <col min="2" max="2" width="11.57421875" style="2" bestFit="1" customWidth="1"/>
    <col min="3" max="3" width="12.57421875" style="6" bestFit="1" customWidth="1"/>
    <col min="4" max="4" width="11.140625" style="6" customWidth="1"/>
    <col min="5" max="5" width="10.00390625" style="6" bestFit="1" customWidth="1"/>
    <col min="6" max="6" width="14.421875" style="6" bestFit="1" customWidth="1"/>
    <col min="7" max="7" width="12.57421875" style="6" bestFit="1" customWidth="1"/>
    <col min="8" max="8" width="10.00390625" style="6" customWidth="1"/>
    <col min="9" max="9" width="14.00390625" style="6" customWidth="1"/>
    <col min="10" max="10" width="16.57421875" style="6" customWidth="1"/>
    <col min="11" max="11" width="12.57421875" style="6" bestFit="1" customWidth="1"/>
    <col min="12" max="12" width="17.8515625" style="6" bestFit="1" customWidth="1"/>
    <col min="13" max="13" width="13.140625" style="6" bestFit="1" customWidth="1"/>
    <col min="14" max="14" width="11.421875" style="6" customWidth="1"/>
    <col min="15" max="15" width="13.00390625" style="6" bestFit="1" customWidth="1"/>
    <col min="16" max="17" width="11.421875" style="6" customWidth="1"/>
  </cols>
  <sheetData>
    <row r="1" spans="1:17" ht="23.25" customHeight="1">
      <c r="A1" s="67"/>
      <c r="B1" s="144" t="s">
        <v>467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23.25" customHeight="1">
      <c r="A2" s="67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23.25" customHeight="1" thickBot="1">
      <c r="A3" s="67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ht="14.25">
      <c r="A4" s="142" t="s">
        <v>0</v>
      </c>
      <c r="B4" s="142" t="s">
        <v>1</v>
      </c>
      <c r="C4" s="63" t="s">
        <v>2</v>
      </c>
      <c r="D4" s="63" t="s">
        <v>477</v>
      </c>
      <c r="E4" s="142" t="s">
        <v>3</v>
      </c>
      <c r="F4" s="63" t="s">
        <v>478</v>
      </c>
      <c r="G4" s="142" t="s">
        <v>4</v>
      </c>
      <c r="H4" s="142" t="s">
        <v>474</v>
      </c>
      <c r="I4" s="62" t="s">
        <v>479</v>
      </c>
      <c r="J4" s="63" t="s">
        <v>475</v>
      </c>
      <c r="K4" s="142" t="s">
        <v>5</v>
      </c>
      <c r="L4" s="61" t="s">
        <v>471</v>
      </c>
      <c r="M4" s="61" t="s">
        <v>6</v>
      </c>
      <c r="N4" s="142" t="s">
        <v>7</v>
      </c>
      <c r="O4" s="142" t="s">
        <v>8</v>
      </c>
      <c r="P4" s="63" t="s">
        <v>67</v>
      </c>
      <c r="Q4" s="63" t="s">
        <v>67</v>
      </c>
    </row>
    <row r="5" spans="1:17" ht="15" thickBot="1">
      <c r="A5" s="143" t="s">
        <v>9</v>
      </c>
      <c r="B5" s="143" t="s">
        <v>9</v>
      </c>
      <c r="C5" s="65" t="s">
        <v>468</v>
      </c>
      <c r="D5" s="65" t="s">
        <v>484</v>
      </c>
      <c r="E5" s="143"/>
      <c r="F5" s="66">
        <v>0.5</v>
      </c>
      <c r="G5" s="143" t="s">
        <v>9</v>
      </c>
      <c r="H5" s="143" t="s">
        <v>9</v>
      </c>
      <c r="I5" s="65" t="s">
        <v>473</v>
      </c>
      <c r="J5" s="65" t="s">
        <v>476</v>
      </c>
      <c r="K5" s="143" t="s">
        <v>9</v>
      </c>
      <c r="L5" s="64" t="s">
        <v>470</v>
      </c>
      <c r="M5" s="64" t="s">
        <v>68</v>
      </c>
      <c r="N5" s="143" t="s">
        <v>9</v>
      </c>
      <c r="O5" s="143" t="s">
        <v>9</v>
      </c>
      <c r="P5" s="65" t="s">
        <v>11</v>
      </c>
      <c r="Q5" s="65" t="s">
        <v>69</v>
      </c>
    </row>
    <row r="6" spans="1:17" ht="15.75">
      <c r="A6" s="79" t="s">
        <v>266</v>
      </c>
      <c r="B6" s="37">
        <v>8</v>
      </c>
      <c r="C6" s="38"/>
      <c r="D6" s="39"/>
      <c r="E6" s="38"/>
      <c r="F6" s="38"/>
      <c r="G6" s="38"/>
      <c r="H6" s="38"/>
      <c r="I6" s="40"/>
      <c r="J6" s="38"/>
      <c r="K6" s="38"/>
      <c r="L6" s="38"/>
      <c r="M6" s="38"/>
      <c r="N6" s="38"/>
      <c r="O6" s="38"/>
      <c r="P6" s="38"/>
      <c r="Q6" s="38"/>
    </row>
    <row r="7" spans="1:17" ht="15.75">
      <c r="A7" s="80" t="s">
        <v>70</v>
      </c>
      <c r="B7" s="41">
        <v>21</v>
      </c>
      <c r="C7" s="42">
        <v>45.4</v>
      </c>
      <c r="D7" s="43">
        <v>47.8</v>
      </c>
      <c r="E7" s="42">
        <v>35.6</v>
      </c>
      <c r="F7" s="42"/>
      <c r="G7" s="42">
        <v>35.6</v>
      </c>
      <c r="H7" s="42">
        <v>17.65</v>
      </c>
      <c r="I7" s="42"/>
      <c r="J7" s="42">
        <v>23.1</v>
      </c>
      <c r="K7" s="42">
        <v>22.65</v>
      </c>
      <c r="L7" s="42">
        <v>19.3</v>
      </c>
      <c r="M7" s="42">
        <v>19.3</v>
      </c>
      <c r="N7" s="42">
        <v>33.65</v>
      </c>
      <c r="O7" s="42">
        <v>47.8</v>
      </c>
      <c r="P7" s="42">
        <v>20.7</v>
      </c>
      <c r="Q7" s="42"/>
    </row>
    <row r="8" spans="1:17" ht="15.75">
      <c r="A8" s="80" t="s">
        <v>214</v>
      </c>
      <c r="B8" s="41">
        <v>31</v>
      </c>
      <c r="C8" s="42"/>
      <c r="D8" s="43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5.75">
      <c r="A9" s="80" t="s">
        <v>215</v>
      </c>
      <c r="B9" s="41">
        <v>36</v>
      </c>
      <c r="C9" s="42">
        <v>43.5</v>
      </c>
      <c r="D9" s="43">
        <v>45.8</v>
      </c>
      <c r="E9" s="42">
        <v>34.1</v>
      </c>
      <c r="F9" s="42"/>
      <c r="G9" s="42">
        <v>34.1</v>
      </c>
      <c r="H9" s="42">
        <v>16.9</v>
      </c>
      <c r="I9" s="42"/>
      <c r="J9" s="42">
        <v>22.15</v>
      </c>
      <c r="K9" s="42">
        <v>21.7</v>
      </c>
      <c r="L9" s="42">
        <v>18.5</v>
      </c>
      <c r="M9" s="42">
        <v>18.5</v>
      </c>
      <c r="N9" s="42">
        <v>32.25</v>
      </c>
      <c r="O9" s="42">
        <v>45.8</v>
      </c>
      <c r="P9" s="42">
        <v>19.85</v>
      </c>
      <c r="Q9" s="42"/>
    </row>
    <row r="10" spans="1:17" ht="15.75">
      <c r="A10" s="80" t="s">
        <v>71</v>
      </c>
      <c r="B10" s="41">
        <v>55</v>
      </c>
      <c r="C10" s="42">
        <v>41.1</v>
      </c>
      <c r="D10" s="43">
        <v>43.3</v>
      </c>
      <c r="E10" s="42">
        <v>32.3</v>
      </c>
      <c r="F10" s="42"/>
      <c r="G10" s="42">
        <v>32.3</v>
      </c>
      <c r="H10" s="42">
        <v>16</v>
      </c>
      <c r="I10" s="42"/>
      <c r="J10" s="42">
        <v>20.95</v>
      </c>
      <c r="K10" s="42">
        <v>20.5</v>
      </c>
      <c r="L10" s="42">
        <v>17.5</v>
      </c>
      <c r="M10" s="42">
        <v>17.5</v>
      </c>
      <c r="N10" s="42">
        <v>30.45</v>
      </c>
      <c r="O10" s="42">
        <v>43.3</v>
      </c>
      <c r="P10" s="42">
        <v>18.75</v>
      </c>
      <c r="Q10" s="42"/>
    </row>
    <row r="11" spans="1:17" ht="15.75">
      <c r="A11" s="80" t="s">
        <v>72</v>
      </c>
      <c r="B11" s="41">
        <v>60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>
      <c r="A12" s="80" t="s">
        <v>73</v>
      </c>
      <c r="B12" s="41">
        <v>93</v>
      </c>
      <c r="C12" s="42"/>
      <c r="D12" s="43"/>
      <c r="E12" s="42"/>
      <c r="F12" s="42"/>
      <c r="G12" s="42" t="s">
        <v>74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5.75">
      <c r="A13" s="80" t="s">
        <v>75</v>
      </c>
      <c r="B13" s="41">
        <v>114</v>
      </c>
      <c r="C13" s="42">
        <v>44.7</v>
      </c>
      <c r="D13" s="43">
        <v>47.1</v>
      </c>
      <c r="E13" s="42">
        <v>35.1</v>
      </c>
      <c r="F13" s="42"/>
      <c r="G13" s="42">
        <v>39.7</v>
      </c>
      <c r="H13" s="42">
        <v>17.4</v>
      </c>
      <c r="I13" s="42"/>
      <c r="J13" s="42">
        <v>22.8</v>
      </c>
      <c r="K13" s="42">
        <v>22.3</v>
      </c>
      <c r="L13" s="42">
        <v>19</v>
      </c>
      <c r="M13" s="42">
        <v>19</v>
      </c>
      <c r="N13" s="42">
        <v>33.1</v>
      </c>
      <c r="O13" s="42">
        <v>49.5</v>
      </c>
      <c r="P13" s="42">
        <v>20.4</v>
      </c>
      <c r="Q13" s="42"/>
    </row>
    <row r="14" spans="1:17" ht="15.75">
      <c r="A14" s="80" t="s">
        <v>216</v>
      </c>
      <c r="B14" s="41">
        <v>214</v>
      </c>
      <c r="C14" s="42">
        <v>46.7</v>
      </c>
      <c r="D14" s="43">
        <v>49.2</v>
      </c>
      <c r="E14" s="42">
        <v>36.7</v>
      </c>
      <c r="F14" s="42"/>
      <c r="G14" s="42">
        <v>41.5</v>
      </c>
      <c r="H14" s="42">
        <v>18.18</v>
      </c>
      <c r="I14" s="42"/>
      <c r="J14" s="42">
        <v>23.82</v>
      </c>
      <c r="K14" s="42">
        <v>23.29</v>
      </c>
      <c r="L14" s="42">
        <v>19.85</v>
      </c>
      <c r="M14" s="42">
        <v>19.85</v>
      </c>
      <c r="N14" s="42">
        <v>34.58</v>
      </c>
      <c r="O14" s="42">
        <v>51.71</v>
      </c>
      <c r="P14" s="42">
        <v>21.31</v>
      </c>
      <c r="Q14" s="42"/>
    </row>
    <row r="15" spans="1:17" ht="15.75">
      <c r="A15" s="80" t="s">
        <v>76</v>
      </c>
      <c r="B15" s="41">
        <v>4</v>
      </c>
      <c r="C15" s="42">
        <v>44.286</v>
      </c>
      <c r="D15" s="43">
        <v>46.696000000000005</v>
      </c>
      <c r="E15" s="42">
        <v>34.821</v>
      </c>
      <c r="F15" s="42"/>
      <c r="G15" s="42">
        <v>39.4</v>
      </c>
      <c r="H15" s="42">
        <v>17.249000000000002</v>
      </c>
      <c r="I15" s="42"/>
      <c r="J15" s="42">
        <v>22.6</v>
      </c>
      <c r="K15" s="42">
        <v>22.096999999999998</v>
      </c>
      <c r="L15" s="42">
        <v>18.834</v>
      </c>
      <c r="M15" s="42">
        <v>18.834</v>
      </c>
      <c r="N15" s="42">
        <v>32.81</v>
      </c>
      <c r="O15" s="42">
        <v>49.063</v>
      </c>
      <c r="P15" s="42">
        <v>20.219</v>
      </c>
      <c r="Q15" s="42"/>
    </row>
    <row r="16" spans="1:17" ht="15.75">
      <c r="A16" s="80" t="s">
        <v>217</v>
      </c>
      <c r="B16" s="41">
        <v>41</v>
      </c>
      <c r="C16" s="42">
        <v>44.8</v>
      </c>
      <c r="D16" s="43">
        <v>47.25</v>
      </c>
      <c r="E16" s="42">
        <v>35.35</v>
      </c>
      <c r="F16" s="42"/>
      <c r="G16" s="42">
        <v>39.9</v>
      </c>
      <c r="H16" s="42">
        <v>17.249000000000002</v>
      </c>
      <c r="I16" s="42"/>
      <c r="J16" s="42">
        <v>22.6</v>
      </c>
      <c r="K16" s="42">
        <v>22.096999999999998</v>
      </c>
      <c r="L16" s="42">
        <v>18.834</v>
      </c>
      <c r="M16" s="42">
        <v>18.834</v>
      </c>
      <c r="N16" s="42">
        <v>32.81</v>
      </c>
      <c r="O16" s="42">
        <v>49.063</v>
      </c>
      <c r="P16" s="42">
        <v>20.219</v>
      </c>
      <c r="Q16" s="42"/>
    </row>
    <row r="17" spans="1:17" ht="15.75">
      <c r="A17" s="80" t="s">
        <v>77</v>
      </c>
      <c r="B17" s="41">
        <v>44</v>
      </c>
      <c r="C17" s="42">
        <v>41.95</v>
      </c>
      <c r="D17" s="43">
        <v>46.6</v>
      </c>
      <c r="E17" s="42">
        <v>34.75</v>
      </c>
      <c r="F17" s="42"/>
      <c r="G17" s="42">
        <v>39.3</v>
      </c>
      <c r="H17" s="42">
        <v>18.284</v>
      </c>
      <c r="I17" s="42"/>
      <c r="J17" s="42">
        <v>24.859</v>
      </c>
      <c r="K17" s="42">
        <v>25.419</v>
      </c>
      <c r="L17" s="42">
        <v>21.65</v>
      </c>
      <c r="M17" s="42">
        <v>23.54</v>
      </c>
      <c r="N17" s="42">
        <v>35.5</v>
      </c>
      <c r="O17" s="42">
        <v>51.55</v>
      </c>
      <c r="P17" s="42">
        <v>28.435</v>
      </c>
      <c r="Q17" s="42">
        <v>26.765</v>
      </c>
    </row>
    <row r="18" spans="1:17" ht="15.75">
      <c r="A18" s="80" t="s">
        <v>78</v>
      </c>
      <c r="B18" s="41">
        <v>63</v>
      </c>
      <c r="C18" s="42">
        <v>42.5</v>
      </c>
      <c r="D18" s="43">
        <v>47.15</v>
      </c>
      <c r="E18" s="42">
        <v>35.3</v>
      </c>
      <c r="F18" s="42"/>
      <c r="G18" s="42">
        <v>39.8</v>
      </c>
      <c r="H18" s="42">
        <v>18.284</v>
      </c>
      <c r="I18" s="42"/>
      <c r="J18" s="42">
        <v>24.859</v>
      </c>
      <c r="K18" s="42">
        <v>25.419</v>
      </c>
      <c r="L18" s="42">
        <v>21.65</v>
      </c>
      <c r="M18" s="42">
        <v>23.54</v>
      </c>
      <c r="N18" s="42">
        <v>35.5</v>
      </c>
      <c r="O18" s="42">
        <v>51.55</v>
      </c>
      <c r="P18" s="42">
        <v>28.435</v>
      </c>
      <c r="Q18" s="42">
        <v>26.765</v>
      </c>
    </row>
    <row r="19" spans="1:17" ht="15.75">
      <c r="A19" s="80" t="s">
        <v>218</v>
      </c>
      <c r="B19" s="41">
        <v>201</v>
      </c>
      <c r="C19" s="42">
        <v>44.81</v>
      </c>
      <c r="D19" s="43">
        <v>49.63</v>
      </c>
      <c r="E19" s="42">
        <v>37.26</v>
      </c>
      <c r="F19" s="42"/>
      <c r="G19" s="42">
        <v>42</v>
      </c>
      <c r="H19" s="42">
        <v>19.03</v>
      </c>
      <c r="I19" s="42"/>
      <c r="J19" s="42">
        <v>25.87</v>
      </c>
      <c r="K19" s="42">
        <v>26.45</v>
      </c>
      <c r="L19" s="42">
        <v>22.53</v>
      </c>
      <c r="M19" s="42">
        <v>24.49</v>
      </c>
      <c r="N19" s="42">
        <v>36.94</v>
      </c>
      <c r="O19" s="42">
        <v>53.64</v>
      </c>
      <c r="P19" s="42">
        <v>29.59</v>
      </c>
      <c r="Q19" s="42">
        <v>27.84</v>
      </c>
    </row>
    <row r="20" spans="1:17" ht="15.75">
      <c r="A20" s="80" t="s">
        <v>79</v>
      </c>
      <c r="B20" s="41"/>
      <c r="C20" s="42"/>
      <c r="D20" s="4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.75">
      <c r="A21" s="80" t="s">
        <v>219</v>
      </c>
      <c r="B21" s="41">
        <v>38</v>
      </c>
      <c r="C21" s="42"/>
      <c r="D21" s="43"/>
      <c r="E21" s="42"/>
      <c r="F21" s="42"/>
      <c r="G21" s="42"/>
      <c r="H21" s="42"/>
      <c r="I21" s="42"/>
      <c r="J21" s="42"/>
      <c r="K21" s="42"/>
      <c r="L21" s="42"/>
      <c r="M21" s="42">
        <v>24.49</v>
      </c>
      <c r="N21" s="42"/>
      <c r="O21" s="42"/>
      <c r="P21" s="42"/>
      <c r="Q21" s="42"/>
    </row>
    <row r="22" spans="1:17" ht="15.75">
      <c r="A22" s="80" t="s">
        <v>80</v>
      </c>
      <c r="B22" s="41">
        <v>110</v>
      </c>
      <c r="C22" s="42">
        <v>45.93</v>
      </c>
      <c r="D22" s="43">
        <v>50.87</v>
      </c>
      <c r="E22" s="42">
        <v>38.19</v>
      </c>
      <c r="F22" s="42"/>
      <c r="G22" s="42">
        <v>43</v>
      </c>
      <c r="H22" s="42">
        <v>19.506</v>
      </c>
      <c r="I22" s="42"/>
      <c r="J22" s="42">
        <v>26.516999999999996</v>
      </c>
      <c r="K22" s="42">
        <v>27.111</v>
      </c>
      <c r="L22" s="42">
        <v>23.093</v>
      </c>
      <c r="M22" s="42">
        <v>24.49</v>
      </c>
      <c r="N22" s="42">
        <v>37.864</v>
      </c>
      <c r="O22" s="42">
        <v>54.98100000000001</v>
      </c>
      <c r="P22" s="42">
        <v>30.33</v>
      </c>
      <c r="Q22" s="42">
        <v>28.536</v>
      </c>
    </row>
    <row r="23" spans="1:17" ht="15.75">
      <c r="A23" s="80" t="s">
        <v>81</v>
      </c>
      <c r="B23" s="41">
        <v>155</v>
      </c>
      <c r="C23" s="42">
        <v>43.46</v>
      </c>
      <c r="D23" s="43">
        <v>48.13</v>
      </c>
      <c r="E23" s="42">
        <v>36.13</v>
      </c>
      <c r="F23" s="42"/>
      <c r="G23" s="42">
        <v>40.7</v>
      </c>
      <c r="H23" s="42">
        <v>18.456</v>
      </c>
      <c r="I23" s="42"/>
      <c r="J23" s="42">
        <v>25.086999999999996</v>
      </c>
      <c r="K23" s="42">
        <v>25.651</v>
      </c>
      <c r="L23" s="42">
        <v>21.853</v>
      </c>
      <c r="M23" s="42">
        <v>24.49</v>
      </c>
      <c r="N23" s="42">
        <v>35.824</v>
      </c>
      <c r="O23" s="42">
        <v>52.021</v>
      </c>
      <c r="P23" s="42">
        <v>28.7</v>
      </c>
      <c r="Q23" s="42">
        <v>26.996</v>
      </c>
    </row>
    <row r="24" spans="1:17" ht="15.75">
      <c r="A24" s="80" t="s">
        <v>82</v>
      </c>
      <c r="B24" s="41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5.75">
      <c r="A25" s="80" t="s">
        <v>83</v>
      </c>
      <c r="B25" s="41">
        <v>7</v>
      </c>
      <c r="C25" s="42">
        <v>41.01</v>
      </c>
      <c r="D25" s="43">
        <v>45.41</v>
      </c>
      <c r="E25" s="42">
        <v>34.09</v>
      </c>
      <c r="F25" s="42"/>
      <c r="G25" s="42">
        <v>38.4</v>
      </c>
      <c r="H25" s="42">
        <v>17.415</v>
      </c>
      <c r="I25" s="42"/>
      <c r="J25" s="42">
        <v>23.671999999999997</v>
      </c>
      <c r="K25" s="42">
        <v>24.204</v>
      </c>
      <c r="L25" s="42">
        <v>20.62</v>
      </c>
      <c r="M25" s="42">
        <v>24.49</v>
      </c>
      <c r="N25" s="42">
        <v>33.803000000000004</v>
      </c>
      <c r="O25" s="42">
        <v>49.086</v>
      </c>
      <c r="P25" s="42">
        <v>27.081</v>
      </c>
      <c r="Q25" s="42">
        <v>25.473000000000003</v>
      </c>
    </row>
    <row r="26" spans="1:17" ht="15.75">
      <c r="A26" s="80" t="s">
        <v>84</v>
      </c>
      <c r="B26" s="41">
        <v>141</v>
      </c>
      <c r="C26" s="42">
        <v>44.49</v>
      </c>
      <c r="D26" s="43">
        <v>49.27</v>
      </c>
      <c r="E26" s="42">
        <v>36.98</v>
      </c>
      <c r="F26" s="42"/>
      <c r="G26" s="42">
        <v>41.7</v>
      </c>
      <c r="H26" s="42">
        <v>18.894</v>
      </c>
      <c r="I26" s="42"/>
      <c r="J26" s="42">
        <v>25.682</v>
      </c>
      <c r="K26" s="42">
        <v>26.259000000000004</v>
      </c>
      <c r="L26" s="42">
        <v>22.371</v>
      </c>
      <c r="M26" s="42">
        <v>24.49</v>
      </c>
      <c r="N26" s="42">
        <v>36.673</v>
      </c>
      <c r="O26" s="42">
        <v>53.253</v>
      </c>
      <c r="P26" s="42">
        <v>29.38</v>
      </c>
      <c r="Q26" s="42">
        <v>27.636000000000003</v>
      </c>
    </row>
    <row r="27" spans="1:17" ht="15.75">
      <c r="A27" s="80" t="s">
        <v>220</v>
      </c>
      <c r="B27" s="41">
        <v>223</v>
      </c>
      <c r="C27" s="42">
        <v>51.75</v>
      </c>
      <c r="D27" s="43">
        <v>57.31</v>
      </c>
      <c r="E27" s="42">
        <v>43.02</v>
      </c>
      <c r="F27" s="42"/>
      <c r="G27" s="42">
        <v>48.5</v>
      </c>
      <c r="H27" s="42">
        <v>21.978</v>
      </c>
      <c r="I27" s="42"/>
      <c r="J27" s="42">
        <v>29.873</v>
      </c>
      <c r="K27" s="42">
        <v>30.544</v>
      </c>
      <c r="L27" s="42">
        <v>26.022</v>
      </c>
      <c r="M27" s="42">
        <v>28.487000000000002</v>
      </c>
      <c r="N27" s="42">
        <v>42.658</v>
      </c>
      <c r="O27" s="42">
        <v>61.943999999999996</v>
      </c>
      <c r="P27" s="42">
        <v>35.256</v>
      </c>
      <c r="Q27" s="42">
        <v>34.545</v>
      </c>
    </row>
    <row r="28" spans="1:17" ht="15.75">
      <c r="A28" s="80" t="s">
        <v>85</v>
      </c>
      <c r="B28" s="44">
        <v>77</v>
      </c>
      <c r="C28" s="42"/>
      <c r="D28" s="4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5.75">
      <c r="A29" s="80" t="s">
        <v>86</v>
      </c>
      <c r="B29" s="41">
        <v>26</v>
      </c>
      <c r="C29" s="42">
        <v>55.956999999999994</v>
      </c>
      <c r="D29" s="43">
        <v>61.968999999999994</v>
      </c>
      <c r="E29" s="42">
        <v>46.518</v>
      </c>
      <c r="F29" s="42"/>
      <c r="G29" s="42">
        <v>52.443000000000005</v>
      </c>
      <c r="H29" s="42">
        <v>23.765</v>
      </c>
      <c r="I29" s="42"/>
      <c r="J29" s="42">
        <v>32.302</v>
      </c>
      <c r="K29" s="42">
        <v>33.027</v>
      </c>
      <c r="L29" s="42">
        <v>28.137999999999998</v>
      </c>
      <c r="M29" s="42">
        <v>30.803000000000004</v>
      </c>
      <c r="N29" s="42">
        <v>46.126000000000005</v>
      </c>
      <c r="O29" s="42">
        <v>66.98</v>
      </c>
      <c r="P29" s="42">
        <v>38.122</v>
      </c>
      <c r="Q29" s="42">
        <v>37.354</v>
      </c>
    </row>
    <row r="30" spans="1:17" ht="15.75">
      <c r="A30" s="80" t="s">
        <v>87</v>
      </c>
      <c r="B30" s="41">
        <v>159</v>
      </c>
      <c r="C30" s="42">
        <v>51.245</v>
      </c>
      <c r="D30" s="43">
        <v>56.751</v>
      </c>
      <c r="E30" s="42">
        <v>42.601000000000006</v>
      </c>
      <c r="F30" s="42"/>
      <c r="G30" s="42">
        <v>48.027</v>
      </c>
      <c r="H30" s="42">
        <v>21.764000000000003</v>
      </c>
      <c r="I30" s="42"/>
      <c r="J30" s="42">
        <v>29.582</v>
      </c>
      <c r="K30" s="42">
        <v>30.246</v>
      </c>
      <c r="L30" s="42">
        <v>25.769</v>
      </c>
      <c r="M30" s="42">
        <v>28.209000000000003</v>
      </c>
      <c r="N30" s="42">
        <v>42.242</v>
      </c>
      <c r="O30" s="42">
        <v>61.34</v>
      </c>
      <c r="P30" s="42">
        <v>34.912</v>
      </c>
      <c r="Q30" s="42">
        <v>34.209</v>
      </c>
    </row>
    <row r="31" spans="1:17" ht="15.75">
      <c r="A31" s="80" t="s">
        <v>88</v>
      </c>
      <c r="B31" s="41">
        <v>191</v>
      </c>
      <c r="C31" s="42">
        <v>55.186</v>
      </c>
      <c r="D31" s="43">
        <v>61.115</v>
      </c>
      <c r="E31" s="42">
        <v>45.876999999999995</v>
      </c>
      <c r="F31" s="42"/>
      <c r="G31" s="42">
        <v>51.72</v>
      </c>
      <c r="H31" s="42">
        <v>23.438000000000002</v>
      </c>
      <c r="I31" s="42"/>
      <c r="J31" s="42">
        <v>31.857</v>
      </c>
      <c r="K31" s="42">
        <v>32.571999999999996</v>
      </c>
      <c r="L31" s="42">
        <v>27.750999999999998</v>
      </c>
      <c r="M31" s="42">
        <v>30.378000000000004</v>
      </c>
      <c r="N31" s="42">
        <v>45.49</v>
      </c>
      <c r="O31" s="42">
        <v>66.05699999999999</v>
      </c>
      <c r="P31" s="42">
        <v>37.596999999999994</v>
      </c>
      <c r="Q31" s="42">
        <v>36.84</v>
      </c>
    </row>
    <row r="32" spans="1:17" ht="15.75">
      <c r="A32" s="80" t="s">
        <v>221</v>
      </c>
      <c r="B32" s="44">
        <v>219</v>
      </c>
      <c r="C32" s="45">
        <v>42.251</v>
      </c>
      <c r="D32" s="46">
        <v>44.598</v>
      </c>
      <c r="E32" s="45">
        <v>33.287</v>
      </c>
      <c r="F32" s="45"/>
      <c r="G32" s="45">
        <v>44.728</v>
      </c>
      <c r="H32" s="45">
        <v>19.067</v>
      </c>
      <c r="I32" s="45"/>
      <c r="J32" s="45">
        <v>27.566</v>
      </c>
      <c r="K32" s="45">
        <v>28.185</v>
      </c>
      <c r="L32" s="45">
        <v>24.013</v>
      </c>
      <c r="M32" s="45">
        <v>26.287</v>
      </c>
      <c r="N32" s="45">
        <v>35.84</v>
      </c>
      <c r="O32" s="45">
        <v>54.652</v>
      </c>
      <c r="P32" s="45">
        <v>45.546</v>
      </c>
      <c r="Q32" s="45">
        <v>44.63</v>
      </c>
    </row>
    <row r="33" spans="1:17" ht="15.75">
      <c r="A33" s="80" t="s">
        <v>89</v>
      </c>
      <c r="B33" s="44">
        <v>76</v>
      </c>
      <c r="C33" s="45">
        <v>46.273</v>
      </c>
      <c r="D33" s="46">
        <v>48.851</v>
      </c>
      <c r="E33" s="45">
        <v>36.428</v>
      </c>
      <c r="F33" s="45"/>
      <c r="G33" s="45">
        <v>48.994</v>
      </c>
      <c r="H33" s="45">
        <v>20.941</v>
      </c>
      <c r="I33" s="45"/>
      <c r="J33" s="45">
        <v>30.276</v>
      </c>
      <c r="K33" s="45">
        <v>30.956</v>
      </c>
      <c r="L33" s="45">
        <v>26.374</v>
      </c>
      <c r="M33" s="45">
        <v>28.871</v>
      </c>
      <c r="N33" s="45">
        <v>39.363</v>
      </c>
      <c r="O33" s="45">
        <v>60.024</v>
      </c>
      <c r="P33" s="45">
        <v>50.023</v>
      </c>
      <c r="Q33" s="45">
        <v>49.017</v>
      </c>
    </row>
    <row r="34" spans="1:17" ht="15.75">
      <c r="A34" s="80" t="s">
        <v>90</v>
      </c>
      <c r="B34" s="44">
        <v>119</v>
      </c>
      <c r="C34" s="45">
        <v>52.098</v>
      </c>
      <c r="D34" s="46">
        <v>54.983</v>
      </c>
      <c r="E34" s="45">
        <v>41.084</v>
      </c>
      <c r="F34" s="45"/>
      <c r="G34" s="45">
        <v>55.143</v>
      </c>
      <c r="H34" s="45">
        <v>23.429</v>
      </c>
      <c r="I34" s="45"/>
      <c r="J34" s="45">
        <v>33.873</v>
      </c>
      <c r="K34" s="45">
        <v>34.633</v>
      </c>
      <c r="L34" s="45">
        <v>29.507</v>
      </c>
      <c r="M34" s="45">
        <v>32.3</v>
      </c>
      <c r="N34" s="45">
        <v>43.76</v>
      </c>
      <c r="O34" s="45">
        <v>67.377</v>
      </c>
      <c r="P34" s="45">
        <v>55.965</v>
      </c>
      <c r="Q34" s="45">
        <v>54.84</v>
      </c>
    </row>
    <row r="35" spans="1:17" ht="15.75">
      <c r="A35" s="80" t="s">
        <v>91</v>
      </c>
      <c r="B35" s="44">
        <v>149</v>
      </c>
      <c r="C35" s="45">
        <v>52.098</v>
      </c>
      <c r="D35" s="46">
        <v>54.983</v>
      </c>
      <c r="E35" s="45">
        <v>41.084</v>
      </c>
      <c r="F35" s="45"/>
      <c r="G35" s="45">
        <v>55.143</v>
      </c>
      <c r="H35" s="45">
        <v>23.429</v>
      </c>
      <c r="I35" s="45"/>
      <c r="J35" s="45">
        <v>33.873</v>
      </c>
      <c r="K35" s="45">
        <v>34.633</v>
      </c>
      <c r="L35" s="45">
        <v>29.507</v>
      </c>
      <c r="M35" s="45">
        <v>32.3</v>
      </c>
      <c r="N35" s="45">
        <v>43.76</v>
      </c>
      <c r="O35" s="45">
        <v>67.377</v>
      </c>
      <c r="P35" s="45">
        <v>55.965</v>
      </c>
      <c r="Q35" s="45">
        <v>54.84</v>
      </c>
    </row>
    <row r="36" spans="1:17" ht="15.75">
      <c r="A36" s="80" t="s">
        <v>222</v>
      </c>
      <c r="B36" s="44">
        <v>179</v>
      </c>
      <c r="C36" s="45">
        <v>56.2952</v>
      </c>
      <c r="D36" s="46">
        <v>59.4212</v>
      </c>
      <c r="E36" s="45">
        <v>44.3622</v>
      </c>
      <c r="F36" s="45"/>
      <c r="G36" s="45">
        <v>59.594</v>
      </c>
      <c r="H36" s="45">
        <v>25.385</v>
      </c>
      <c r="I36" s="45"/>
      <c r="J36" s="45">
        <v>36.701</v>
      </c>
      <c r="K36" s="45">
        <v>37.524</v>
      </c>
      <c r="L36" s="45">
        <v>31.97</v>
      </c>
      <c r="M36" s="45">
        <v>34.996</v>
      </c>
      <c r="N36" s="45">
        <v>47.413</v>
      </c>
      <c r="O36" s="45">
        <v>73.001</v>
      </c>
      <c r="P36" s="45">
        <v>60.637</v>
      </c>
      <c r="Q36" s="45">
        <v>59.418</v>
      </c>
    </row>
    <row r="37" spans="1:17" ht="15.75">
      <c r="A37" s="80" t="s">
        <v>223</v>
      </c>
      <c r="B37" s="44">
        <v>222</v>
      </c>
      <c r="C37" s="45">
        <v>61.5792</v>
      </c>
      <c r="D37" s="46">
        <v>65.0082</v>
      </c>
      <c r="E37" s="45">
        <v>48.4882</v>
      </c>
      <c r="F37" s="45"/>
      <c r="G37" s="45">
        <v>65.198</v>
      </c>
      <c r="H37" s="45">
        <v>27.847</v>
      </c>
      <c r="I37" s="45"/>
      <c r="J37" s="45">
        <v>40.261</v>
      </c>
      <c r="K37" s="45">
        <v>41.164</v>
      </c>
      <c r="L37" s="45">
        <v>35.071</v>
      </c>
      <c r="M37" s="45">
        <v>38.39</v>
      </c>
      <c r="N37" s="45">
        <v>52.012</v>
      </c>
      <c r="O37" s="45">
        <v>80.081</v>
      </c>
      <c r="P37" s="45">
        <v>66.518</v>
      </c>
      <c r="Q37" s="45">
        <v>65.181</v>
      </c>
    </row>
    <row r="38" spans="1:17" ht="15.75">
      <c r="A38" s="80" t="s">
        <v>92</v>
      </c>
      <c r="B38" s="44">
        <v>2</v>
      </c>
      <c r="C38" s="45">
        <v>61.5792</v>
      </c>
      <c r="D38" s="46">
        <v>65.0082</v>
      </c>
      <c r="E38" s="45">
        <v>48.4882</v>
      </c>
      <c r="F38" s="45"/>
      <c r="G38" s="45">
        <v>65.198</v>
      </c>
      <c r="H38" s="45">
        <v>27.847</v>
      </c>
      <c r="I38" s="45"/>
      <c r="J38" s="45">
        <v>40.261</v>
      </c>
      <c r="K38" s="45">
        <v>41.164</v>
      </c>
      <c r="L38" s="45">
        <v>35.071</v>
      </c>
      <c r="M38" s="45">
        <v>38.39</v>
      </c>
      <c r="N38" s="45">
        <v>52.012</v>
      </c>
      <c r="O38" s="45">
        <v>80.081</v>
      </c>
      <c r="P38" s="45">
        <v>66.518</v>
      </c>
      <c r="Q38" s="45">
        <v>65.181</v>
      </c>
    </row>
    <row r="39" spans="1:17" ht="15.75">
      <c r="A39" s="80" t="s">
        <v>93</v>
      </c>
      <c r="B39" s="44">
        <v>45</v>
      </c>
      <c r="C39" s="45">
        <v>59.7362</v>
      </c>
      <c r="D39" s="46">
        <v>63.0592</v>
      </c>
      <c r="E39" s="45">
        <v>47.0492</v>
      </c>
      <c r="F39" s="45"/>
      <c r="G39" s="45">
        <v>63.243</v>
      </c>
      <c r="H39" s="45">
        <v>26.988</v>
      </c>
      <c r="I39" s="45"/>
      <c r="J39" s="45">
        <v>30.019</v>
      </c>
      <c r="K39" s="45">
        <v>39.894</v>
      </c>
      <c r="L39" s="45">
        <v>33.989</v>
      </c>
      <c r="M39" s="45">
        <v>37.206</v>
      </c>
      <c r="N39" s="45">
        <v>50.408</v>
      </c>
      <c r="O39" s="45">
        <v>77.612</v>
      </c>
      <c r="P39" s="45">
        <v>64.467</v>
      </c>
      <c r="Q39" s="45">
        <v>63.171</v>
      </c>
    </row>
    <row r="40" spans="1:17" ht="15.75">
      <c r="A40" s="80" t="s">
        <v>94</v>
      </c>
      <c r="B40" s="44">
        <f>177</f>
        <v>177</v>
      </c>
      <c r="C40" s="45">
        <v>59.7362</v>
      </c>
      <c r="D40" s="46">
        <v>63.0592</v>
      </c>
      <c r="E40" s="45">
        <v>47.0492</v>
      </c>
      <c r="F40" s="45"/>
      <c r="G40" s="45">
        <v>63.243</v>
      </c>
      <c r="H40" s="45">
        <v>26.988</v>
      </c>
      <c r="I40" s="45"/>
      <c r="J40" s="45">
        <v>30.019</v>
      </c>
      <c r="K40" s="45">
        <v>39.894</v>
      </c>
      <c r="L40" s="45">
        <v>33.989</v>
      </c>
      <c r="M40" s="45">
        <v>37.206</v>
      </c>
      <c r="N40" s="45">
        <v>50.408</v>
      </c>
      <c r="O40" s="45">
        <v>77.612</v>
      </c>
      <c r="P40" s="45">
        <v>64.467</v>
      </c>
      <c r="Q40" s="45">
        <v>63.171</v>
      </c>
    </row>
    <row r="41" spans="1:17" ht="15.75">
      <c r="A41" s="80" t="s">
        <v>95</v>
      </c>
      <c r="B41" s="44">
        <v>66</v>
      </c>
      <c r="C41" s="45">
        <v>57.5532</v>
      </c>
      <c r="D41" s="46">
        <v>60.7522</v>
      </c>
      <c r="E41" s="45">
        <v>45.3452</v>
      </c>
      <c r="F41" s="45"/>
      <c r="G41" s="45">
        <v>60.929</v>
      </c>
      <c r="H41" s="45">
        <v>25.971</v>
      </c>
      <c r="I41" s="45"/>
      <c r="J41" s="45">
        <v>37.549</v>
      </c>
      <c r="K41" s="45">
        <v>38.391</v>
      </c>
      <c r="L41" s="45">
        <v>32.709</v>
      </c>
      <c r="M41" s="45">
        <v>35.804</v>
      </c>
      <c r="N41" s="45">
        <v>48.508</v>
      </c>
      <c r="O41" s="45">
        <v>74.687</v>
      </c>
      <c r="P41" s="45">
        <v>62.038</v>
      </c>
      <c r="Q41" s="45">
        <v>60.791</v>
      </c>
    </row>
    <row r="42" spans="1:17" ht="15.75">
      <c r="A42" s="80" t="s">
        <v>96</v>
      </c>
      <c r="B42" s="44">
        <v>126</v>
      </c>
      <c r="C42" s="45">
        <v>55.6532</v>
      </c>
      <c r="D42" s="46">
        <v>58.7422</v>
      </c>
      <c r="E42" s="45">
        <v>43.8612</v>
      </c>
      <c r="F42" s="45"/>
      <c r="G42" s="45">
        <v>58.913</v>
      </c>
      <c r="H42" s="45">
        <v>25.086</v>
      </c>
      <c r="I42" s="45"/>
      <c r="J42" s="45">
        <v>36.268</v>
      </c>
      <c r="K42" s="45">
        <v>37.082</v>
      </c>
      <c r="L42" s="45">
        <v>31.593</v>
      </c>
      <c r="M42" s="45">
        <v>34.583</v>
      </c>
      <c r="N42" s="45">
        <v>46.854</v>
      </c>
      <c r="O42" s="45">
        <v>72.14</v>
      </c>
      <c r="P42" s="45">
        <v>59.922</v>
      </c>
      <c r="Q42" s="45">
        <v>58.718</v>
      </c>
    </row>
    <row r="43" spans="1:17" ht="15.75">
      <c r="A43" s="80" t="s">
        <v>97</v>
      </c>
      <c r="B43" s="44">
        <v>166</v>
      </c>
      <c r="C43" s="45">
        <v>57.3842</v>
      </c>
      <c r="D43" s="46">
        <v>60.5732</v>
      </c>
      <c r="E43" s="45">
        <v>45.2132</v>
      </c>
      <c r="F43" s="45"/>
      <c r="G43" s="45">
        <v>60.749</v>
      </c>
      <c r="H43" s="45">
        <v>25.893</v>
      </c>
      <c r="I43" s="45"/>
      <c r="J43" s="45">
        <v>37.435</v>
      </c>
      <c r="K43" s="45">
        <v>38.274</v>
      </c>
      <c r="L43" s="45">
        <v>32.609</v>
      </c>
      <c r="M43" s="45">
        <v>35.696</v>
      </c>
      <c r="N43" s="45">
        <v>48.361</v>
      </c>
      <c r="O43" s="45">
        <v>74.461</v>
      </c>
      <c r="P43" s="45">
        <v>61.849</v>
      </c>
      <c r="Q43" s="45">
        <v>60.606</v>
      </c>
    </row>
    <row r="44" spans="1:17" ht="15.75">
      <c r="A44" s="80" t="s">
        <v>98</v>
      </c>
      <c r="B44" s="44">
        <v>172</v>
      </c>
      <c r="C44" s="47"/>
      <c r="D44" s="4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5.75">
      <c r="A45" s="80" t="s">
        <v>99</v>
      </c>
      <c r="B45" s="44">
        <v>12</v>
      </c>
      <c r="C45" s="45">
        <v>54.7172</v>
      </c>
      <c r="D45" s="46">
        <v>57.7522</v>
      </c>
      <c r="E45" s="45">
        <v>43.1292</v>
      </c>
      <c r="F45" s="45"/>
      <c r="G45" s="45">
        <v>57.92</v>
      </c>
      <c r="H45" s="45">
        <v>24.649</v>
      </c>
      <c r="I45" s="45"/>
      <c r="J45" s="45">
        <v>35.638</v>
      </c>
      <c r="K45" s="45">
        <v>36.437</v>
      </c>
      <c r="L45" s="45">
        <v>31.044</v>
      </c>
      <c r="M45" s="45">
        <v>33.982</v>
      </c>
      <c r="N45" s="45">
        <v>46.039</v>
      </c>
      <c r="O45" s="45">
        <v>70.886</v>
      </c>
      <c r="P45" s="45">
        <v>58.88</v>
      </c>
      <c r="Q45" s="45">
        <v>57.696</v>
      </c>
    </row>
    <row r="46" spans="1:17" ht="15.75">
      <c r="A46" s="80" t="s">
        <v>100</v>
      </c>
      <c r="B46" s="44">
        <v>32</v>
      </c>
      <c r="C46" s="45">
        <v>53.0602</v>
      </c>
      <c r="D46" s="46">
        <v>56.0002</v>
      </c>
      <c r="E46" s="45">
        <v>41.8352</v>
      </c>
      <c r="F46" s="45"/>
      <c r="G46" s="45">
        <v>56.163</v>
      </c>
      <c r="H46" s="45">
        <v>23.877</v>
      </c>
      <c r="I46" s="45"/>
      <c r="J46" s="45">
        <v>34.521</v>
      </c>
      <c r="K46" s="45">
        <v>35.295</v>
      </c>
      <c r="L46" s="45">
        <v>30.071</v>
      </c>
      <c r="M46" s="45">
        <v>32.918</v>
      </c>
      <c r="N46" s="45">
        <v>44.597</v>
      </c>
      <c r="O46" s="45">
        <v>68.665</v>
      </c>
      <c r="P46" s="45">
        <v>57.036</v>
      </c>
      <c r="Q46" s="45">
        <v>55.889</v>
      </c>
    </row>
    <row r="47" spans="1:17" ht="15.75">
      <c r="A47" s="80" t="s">
        <v>101</v>
      </c>
      <c r="B47" s="44">
        <v>57</v>
      </c>
      <c r="C47" s="45">
        <v>51.3792</v>
      </c>
      <c r="D47" s="46">
        <v>54.2232</v>
      </c>
      <c r="E47" s="45">
        <v>40.5232</v>
      </c>
      <c r="F47" s="45"/>
      <c r="G47" s="45">
        <v>54.381</v>
      </c>
      <c r="H47" s="45">
        <v>23.094</v>
      </c>
      <c r="I47" s="45"/>
      <c r="J47" s="45">
        <v>33.389</v>
      </c>
      <c r="K47" s="45">
        <v>34.138</v>
      </c>
      <c r="L47" s="45">
        <v>29.085</v>
      </c>
      <c r="M47" s="45">
        <v>32.918</v>
      </c>
      <c r="N47" s="45">
        <v>43.135</v>
      </c>
      <c r="O47" s="45">
        <v>66.414</v>
      </c>
      <c r="P47" s="45">
        <v>55.165</v>
      </c>
      <c r="Q47" s="45">
        <v>54.056</v>
      </c>
    </row>
    <row r="48" spans="1:17" ht="15.75">
      <c r="A48" s="80" t="s">
        <v>224</v>
      </c>
      <c r="B48" s="44">
        <v>125</v>
      </c>
      <c r="C48" s="45">
        <v>49.7562</v>
      </c>
      <c r="D48" s="46">
        <v>52.5072</v>
      </c>
      <c r="E48" s="45">
        <v>39.2562</v>
      </c>
      <c r="F48" s="45"/>
      <c r="G48" s="45">
        <v>52.66</v>
      </c>
      <c r="H48" s="45">
        <v>22.338</v>
      </c>
      <c r="I48" s="45"/>
      <c r="J48" s="45">
        <v>32.296</v>
      </c>
      <c r="K48" s="45">
        <v>33.02</v>
      </c>
      <c r="L48" s="45">
        <v>28.133</v>
      </c>
      <c r="M48" s="45">
        <v>30.795</v>
      </c>
      <c r="N48" s="45">
        <v>41.722</v>
      </c>
      <c r="O48" s="45">
        <v>64.239</v>
      </c>
      <c r="P48" s="45">
        <v>53.359</v>
      </c>
      <c r="Q48" s="45">
        <v>52.286</v>
      </c>
    </row>
    <row r="49" spans="1:17" ht="15.75">
      <c r="A49" s="80" t="s">
        <v>225</v>
      </c>
      <c r="B49" s="44">
        <v>133</v>
      </c>
      <c r="C49" s="45">
        <v>49.7562</v>
      </c>
      <c r="D49" s="46">
        <v>52.5072</v>
      </c>
      <c r="E49" s="45">
        <v>39.2562</v>
      </c>
      <c r="F49" s="45"/>
      <c r="G49" s="45">
        <v>52.66</v>
      </c>
      <c r="H49" s="45">
        <v>22.338</v>
      </c>
      <c r="I49" s="45"/>
      <c r="J49" s="45">
        <v>32.296</v>
      </c>
      <c r="K49" s="45">
        <v>33.02</v>
      </c>
      <c r="L49" s="45">
        <v>28.133</v>
      </c>
      <c r="M49" s="45">
        <v>30.795</v>
      </c>
      <c r="N49" s="45">
        <v>41.722</v>
      </c>
      <c r="O49" s="45">
        <v>64.239</v>
      </c>
      <c r="P49" s="45">
        <v>53.359</v>
      </c>
      <c r="Q49" s="45">
        <v>52.286</v>
      </c>
    </row>
    <row r="50" spans="1:17" ht="15.75">
      <c r="A50" s="80" t="s">
        <v>226</v>
      </c>
      <c r="B50" s="44">
        <v>165</v>
      </c>
      <c r="C50" s="45">
        <f>49.7562-1.8202</f>
        <v>47.936</v>
      </c>
      <c r="D50" s="46">
        <f>52.5072-1.8202</f>
        <v>50.687</v>
      </c>
      <c r="E50" s="45">
        <f>39.2562-1.8202</f>
        <v>37.436</v>
      </c>
      <c r="F50" s="45"/>
      <c r="G50" s="45">
        <f>52.66-1.8202-0.001</f>
        <v>50.8388</v>
      </c>
      <c r="H50" s="45">
        <v>22.338</v>
      </c>
      <c r="I50" s="45"/>
      <c r="J50" s="45">
        <v>32.296</v>
      </c>
      <c r="K50" s="45">
        <v>33.02</v>
      </c>
      <c r="L50" s="45">
        <v>28.133</v>
      </c>
      <c r="M50" s="45">
        <v>30.795</v>
      </c>
      <c r="N50" s="45">
        <v>41.722</v>
      </c>
      <c r="O50" s="45">
        <v>64.239</v>
      </c>
      <c r="P50" s="45">
        <v>53.359</v>
      </c>
      <c r="Q50" s="45">
        <v>52.286</v>
      </c>
    </row>
    <row r="51" spans="1:17" ht="15.75">
      <c r="A51" s="80" t="s">
        <v>227</v>
      </c>
      <c r="B51" s="44">
        <v>182</v>
      </c>
      <c r="C51" s="45">
        <v>46.399</v>
      </c>
      <c r="D51" s="46">
        <v>49.062</v>
      </c>
      <c r="E51" s="45">
        <v>36.235</v>
      </c>
      <c r="F51" s="45"/>
      <c r="G51" s="45">
        <v>49.209</v>
      </c>
      <c r="H51" s="45">
        <v>21.622</v>
      </c>
      <c r="I51" s="45"/>
      <c r="J51" s="45">
        <v>31.26</v>
      </c>
      <c r="K51" s="45">
        <v>31.961</v>
      </c>
      <c r="L51" s="45">
        <v>27.231</v>
      </c>
      <c r="M51" s="45">
        <v>29.808</v>
      </c>
      <c r="N51" s="45">
        <v>40.384</v>
      </c>
      <c r="O51" s="45">
        <v>62.179</v>
      </c>
      <c r="P51" s="45">
        <v>51.648</v>
      </c>
      <c r="Q51" s="45">
        <v>50.61</v>
      </c>
    </row>
    <row r="52" spans="1:17" ht="15.75">
      <c r="A52" s="81">
        <v>36115</v>
      </c>
      <c r="B52" s="44">
        <v>222</v>
      </c>
      <c r="C52" s="45">
        <v>44.472</v>
      </c>
      <c r="D52" s="46">
        <v>47.024</v>
      </c>
      <c r="E52" s="45">
        <v>34.73</v>
      </c>
      <c r="F52" s="45"/>
      <c r="G52" s="45">
        <v>47.165</v>
      </c>
      <c r="H52" s="45">
        <v>20.724</v>
      </c>
      <c r="I52" s="45"/>
      <c r="J52" s="45">
        <v>29.962</v>
      </c>
      <c r="K52" s="45">
        <v>30.634</v>
      </c>
      <c r="L52" s="45">
        <v>26.1</v>
      </c>
      <c r="M52" s="45">
        <v>28.57</v>
      </c>
      <c r="N52" s="45">
        <v>38.707</v>
      </c>
      <c r="O52" s="45">
        <v>59.596</v>
      </c>
      <c r="P52" s="45">
        <v>49.503</v>
      </c>
      <c r="Q52" s="45">
        <v>48.507</v>
      </c>
    </row>
    <row r="53" spans="1:17" ht="15.75">
      <c r="A53" s="81">
        <v>36146</v>
      </c>
      <c r="B53" s="44">
        <v>245</v>
      </c>
      <c r="C53" s="45">
        <v>37.659</v>
      </c>
      <c r="D53" s="46">
        <v>39.82</v>
      </c>
      <c r="E53" s="45">
        <v>29.409</v>
      </c>
      <c r="F53" s="45"/>
      <c r="G53" s="45">
        <v>39.94</v>
      </c>
      <c r="H53" s="45">
        <v>17.549</v>
      </c>
      <c r="I53" s="45"/>
      <c r="J53" s="45">
        <v>25.372</v>
      </c>
      <c r="K53" s="45">
        <v>25.941</v>
      </c>
      <c r="L53" s="45">
        <v>22.101</v>
      </c>
      <c r="M53" s="45">
        <v>24.193</v>
      </c>
      <c r="N53" s="45">
        <v>35.367</v>
      </c>
      <c r="O53" s="45">
        <v>53.426</v>
      </c>
      <c r="P53" s="45">
        <v>41.919</v>
      </c>
      <c r="Q53" s="45">
        <v>41.076</v>
      </c>
    </row>
    <row r="54" spans="1:17" ht="15.75">
      <c r="A54" s="81">
        <v>36203</v>
      </c>
      <c r="B54" s="44">
        <v>30</v>
      </c>
      <c r="C54" s="45">
        <v>39.326</v>
      </c>
      <c r="D54" s="46">
        <v>41.583</v>
      </c>
      <c r="E54" s="45">
        <v>30.711</v>
      </c>
      <c r="F54" s="45"/>
      <c r="G54" s="45">
        <v>41.708</v>
      </c>
      <c r="H54" s="45">
        <v>18.326</v>
      </c>
      <c r="I54" s="45"/>
      <c r="J54" s="45">
        <v>26.495</v>
      </c>
      <c r="K54" s="45">
        <v>27.089</v>
      </c>
      <c r="L54" s="45">
        <v>23.079</v>
      </c>
      <c r="M54" s="45">
        <v>25.264</v>
      </c>
      <c r="N54" s="45">
        <v>36.818</v>
      </c>
      <c r="O54" s="45">
        <v>55.66</v>
      </c>
      <c r="P54" s="45">
        <v>43.775</v>
      </c>
      <c r="Q54" s="45">
        <v>42.895</v>
      </c>
    </row>
    <row r="55" spans="1:17" ht="15.75">
      <c r="A55" s="81" t="s">
        <v>212</v>
      </c>
      <c r="B55" s="44">
        <v>54</v>
      </c>
      <c r="C55" s="45">
        <v>37.481</v>
      </c>
      <c r="D55" s="46">
        <v>39.632</v>
      </c>
      <c r="E55" s="45">
        <v>29.27</v>
      </c>
      <c r="F55" s="45"/>
      <c r="G55" s="45">
        <v>39.751</v>
      </c>
      <c r="H55" s="45">
        <v>17.466</v>
      </c>
      <c r="I55" s="45"/>
      <c r="J55" s="45">
        <v>25.252</v>
      </c>
      <c r="K55" s="45">
        <v>25.819</v>
      </c>
      <c r="L55" s="45">
        <v>21.997</v>
      </c>
      <c r="M55" s="45">
        <v>24.079</v>
      </c>
      <c r="N55" s="45">
        <v>35.212</v>
      </c>
      <c r="O55" s="45">
        <v>53.188</v>
      </c>
      <c r="P55" s="45">
        <v>41.721</v>
      </c>
      <c r="Q55" s="45">
        <v>40.882</v>
      </c>
    </row>
    <row r="56" spans="1:17" ht="15.75">
      <c r="A56" s="80" t="s">
        <v>213</v>
      </c>
      <c r="B56" s="44">
        <v>70</v>
      </c>
      <c r="C56" s="45">
        <v>48.92</v>
      </c>
      <c r="D56" s="46">
        <v>51.727</v>
      </c>
      <c r="E56" s="45">
        <v>38.203</v>
      </c>
      <c r="F56" s="45"/>
      <c r="G56" s="45">
        <v>51.883</v>
      </c>
      <c r="H56" s="45">
        <v>22.796</v>
      </c>
      <c r="I56" s="45"/>
      <c r="J56" s="45">
        <v>32.958</v>
      </c>
      <c r="K56" s="45">
        <v>33.698</v>
      </c>
      <c r="L56" s="45">
        <v>28.71</v>
      </c>
      <c r="M56" s="45">
        <v>31.427</v>
      </c>
      <c r="N56" s="45">
        <v>42.578</v>
      </c>
      <c r="O56" s="45">
        <v>65.556</v>
      </c>
      <c r="P56" s="45">
        <v>54.453</v>
      </c>
      <c r="Q56" s="45">
        <v>53.358</v>
      </c>
    </row>
    <row r="57" spans="1:17" ht="15.75">
      <c r="A57" s="81" t="s">
        <v>211</v>
      </c>
      <c r="B57" s="44">
        <v>98</v>
      </c>
      <c r="C57" s="45">
        <v>52.865</v>
      </c>
      <c r="D57" s="46">
        <v>55.899</v>
      </c>
      <c r="E57" s="45">
        <v>41.284</v>
      </c>
      <c r="F57" s="45"/>
      <c r="G57" s="45">
        <v>56.067</v>
      </c>
      <c r="H57" s="45">
        <v>24.635</v>
      </c>
      <c r="I57" s="45"/>
      <c r="J57" s="45">
        <v>35.617</v>
      </c>
      <c r="K57" s="45">
        <v>36.416</v>
      </c>
      <c r="L57" s="45">
        <v>31.025</v>
      </c>
      <c r="M57" s="45">
        <v>33.962</v>
      </c>
      <c r="N57" s="45">
        <v>46.012</v>
      </c>
      <c r="O57" s="45">
        <v>70.844</v>
      </c>
      <c r="P57" s="45">
        <v>58.846</v>
      </c>
      <c r="Q57" s="45">
        <v>57.662</v>
      </c>
    </row>
    <row r="58" spans="1:17" ht="15.75">
      <c r="A58" s="80" t="s">
        <v>228</v>
      </c>
      <c r="B58" s="44">
        <v>122</v>
      </c>
      <c r="C58" s="45">
        <v>50.668</v>
      </c>
      <c r="D58" s="46">
        <v>53.576</v>
      </c>
      <c r="E58" s="45">
        <v>39.568</v>
      </c>
      <c r="F58" s="45"/>
      <c r="G58" s="45">
        <v>53.737</v>
      </c>
      <c r="H58" s="45">
        <v>23.611</v>
      </c>
      <c r="I58" s="45"/>
      <c r="J58" s="45">
        <v>34.137</v>
      </c>
      <c r="K58" s="45">
        <v>34.902</v>
      </c>
      <c r="L58" s="45">
        <v>29.736</v>
      </c>
      <c r="M58" s="45">
        <v>32.55</v>
      </c>
      <c r="N58" s="45">
        <v>44.1</v>
      </c>
      <c r="O58" s="45">
        <v>67.899</v>
      </c>
      <c r="P58" s="45">
        <v>56.4</v>
      </c>
      <c r="Q58" s="45">
        <v>55.265</v>
      </c>
    </row>
    <row r="59" spans="1:17" ht="15.75">
      <c r="A59" s="80" t="s">
        <v>17</v>
      </c>
      <c r="B59" s="44">
        <v>145</v>
      </c>
      <c r="C59" s="45">
        <v>57.529</v>
      </c>
      <c r="D59" s="46">
        <v>60.83</v>
      </c>
      <c r="E59" s="45">
        <v>44.926</v>
      </c>
      <c r="F59" s="45"/>
      <c r="G59" s="45">
        <v>61.013</v>
      </c>
      <c r="H59" s="45">
        <v>26.808</v>
      </c>
      <c r="I59" s="45"/>
      <c r="J59" s="45">
        <v>38.759</v>
      </c>
      <c r="K59" s="45">
        <v>39.628</v>
      </c>
      <c r="L59" s="45">
        <v>33.762</v>
      </c>
      <c r="M59" s="45">
        <v>36.958</v>
      </c>
      <c r="N59" s="45">
        <v>50.071</v>
      </c>
      <c r="O59" s="45">
        <v>77.093</v>
      </c>
      <c r="P59" s="45">
        <v>64.037</v>
      </c>
      <c r="Q59" s="45">
        <v>62.749</v>
      </c>
    </row>
    <row r="60" spans="1:17" ht="15.75">
      <c r="A60" s="80" t="s">
        <v>229</v>
      </c>
      <c r="B60" s="44">
        <v>164</v>
      </c>
      <c r="C60" s="45">
        <v>63.085</v>
      </c>
      <c r="D60" s="46">
        <v>66.705</v>
      </c>
      <c r="E60" s="45">
        <v>49.265</v>
      </c>
      <c r="F60" s="45"/>
      <c r="G60" s="45">
        <v>66.906</v>
      </c>
      <c r="H60" s="45">
        <v>29.397</v>
      </c>
      <c r="I60" s="45"/>
      <c r="J60" s="45">
        <v>42.502</v>
      </c>
      <c r="K60" s="45">
        <v>43.455</v>
      </c>
      <c r="L60" s="45">
        <v>37.023</v>
      </c>
      <c r="M60" s="45">
        <v>40.527</v>
      </c>
      <c r="N60" s="45">
        <v>54.907</v>
      </c>
      <c r="O60" s="45">
        <v>84.538</v>
      </c>
      <c r="P60" s="45">
        <v>70.221</v>
      </c>
      <c r="Q60" s="45">
        <v>68.809</v>
      </c>
    </row>
    <row r="61" spans="1:17" ht="15.75">
      <c r="A61" s="80" t="s">
        <v>230</v>
      </c>
      <c r="B61" s="44">
        <v>179</v>
      </c>
      <c r="C61" s="45">
        <v>66.527</v>
      </c>
      <c r="D61" s="46">
        <v>70.345</v>
      </c>
      <c r="E61" s="45">
        <v>51.953</v>
      </c>
      <c r="F61" s="45"/>
      <c r="G61" s="45">
        <v>70.557</v>
      </c>
      <c r="H61" s="45">
        <v>31.001</v>
      </c>
      <c r="I61" s="45"/>
      <c r="J61" s="45">
        <v>44.821</v>
      </c>
      <c r="K61" s="45">
        <v>45.826</v>
      </c>
      <c r="L61" s="45">
        <v>39.043</v>
      </c>
      <c r="M61" s="45">
        <v>42.738</v>
      </c>
      <c r="N61" s="45">
        <v>57.903</v>
      </c>
      <c r="O61" s="45">
        <v>89.151</v>
      </c>
      <c r="P61" s="45">
        <v>74.053</v>
      </c>
      <c r="Q61" s="45">
        <v>72.563</v>
      </c>
    </row>
    <row r="62" spans="1:17" ht="15.75">
      <c r="A62" s="80" t="s">
        <v>231</v>
      </c>
      <c r="B62" s="44">
        <v>195</v>
      </c>
      <c r="C62" s="45">
        <v>70.225</v>
      </c>
      <c r="D62" s="46">
        <v>74.255</v>
      </c>
      <c r="E62" s="45">
        <v>54.841</v>
      </c>
      <c r="F62" s="45"/>
      <c r="G62" s="45">
        <v>74.478</v>
      </c>
      <c r="H62" s="45">
        <v>32.725</v>
      </c>
      <c r="I62" s="45"/>
      <c r="J62" s="45">
        <v>47.313</v>
      </c>
      <c r="K62" s="45">
        <v>48.374</v>
      </c>
      <c r="L62" s="45">
        <v>41.213</v>
      </c>
      <c r="M62" s="45">
        <v>45.114</v>
      </c>
      <c r="N62" s="45">
        <v>61.121</v>
      </c>
      <c r="O62" s="45">
        <v>94.107</v>
      </c>
      <c r="P62" s="45">
        <v>78.169</v>
      </c>
      <c r="Q62" s="45">
        <v>76.597</v>
      </c>
    </row>
    <row r="63" spans="1:17" ht="15.75">
      <c r="A63" s="80" t="s">
        <v>232</v>
      </c>
      <c r="B63" s="44">
        <v>203</v>
      </c>
      <c r="C63" s="45"/>
      <c r="D63" s="46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 ht="15.75">
      <c r="A64" s="80" t="s">
        <v>233</v>
      </c>
      <c r="B64" s="44">
        <v>209</v>
      </c>
      <c r="C64" s="45">
        <v>66.114</v>
      </c>
      <c r="D64" s="46">
        <v>69.908</v>
      </c>
      <c r="E64" s="45">
        <v>51.63</v>
      </c>
      <c r="F64" s="45"/>
      <c r="G64" s="45">
        <v>70.119</v>
      </c>
      <c r="H64" s="45">
        <v>30.809</v>
      </c>
      <c r="I64" s="45"/>
      <c r="J64" s="45">
        <v>44.543</v>
      </c>
      <c r="K64" s="45">
        <v>45.542</v>
      </c>
      <c r="L64" s="45">
        <v>38.8</v>
      </c>
      <c r="M64" s="45">
        <v>42.473</v>
      </c>
      <c r="N64" s="45">
        <v>57.543</v>
      </c>
      <c r="O64" s="45">
        <v>88.598</v>
      </c>
      <c r="P64" s="45">
        <v>73.503</v>
      </c>
      <c r="Q64" s="45">
        <v>72.113</v>
      </c>
    </row>
    <row r="65" spans="1:17" ht="15.75">
      <c r="A65" s="80" t="s">
        <v>234</v>
      </c>
      <c r="B65" s="44">
        <v>228</v>
      </c>
      <c r="C65" s="45">
        <v>69.045</v>
      </c>
      <c r="D65" s="46">
        <v>73.007</v>
      </c>
      <c r="E65" s="45">
        <v>53.919</v>
      </c>
      <c r="F65" s="45"/>
      <c r="G65" s="45">
        <v>73.227</v>
      </c>
      <c r="H65" s="45">
        <v>32.175</v>
      </c>
      <c r="I65" s="45"/>
      <c r="J65" s="45">
        <v>46.518</v>
      </c>
      <c r="K65" s="45">
        <v>47.561</v>
      </c>
      <c r="L65" s="45">
        <v>40.521</v>
      </c>
      <c r="M65" s="45">
        <v>44.356</v>
      </c>
      <c r="N65" s="45">
        <v>60.094</v>
      </c>
      <c r="O65" s="45">
        <v>92.526</v>
      </c>
      <c r="P65" s="45">
        <v>76.856</v>
      </c>
      <c r="Q65" s="45">
        <v>75.31</v>
      </c>
    </row>
    <row r="66" spans="1:17" ht="15.75">
      <c r="A66" s="80" t="s">
        <v>235</v>
      </c>
      <c r="B66" s="44">
        <v>244</v>
      </c>
      <c r="C66" s="45">
        <v>74.014</v>
      </c>
      <c r="D66" s="46">
        <v>78.262</v>
      </c>
      <c r="E66" s="45">
        <v>57.8</v>
      </c>
      <c r="F66" s="45"/>
      <c r="G66" s="45">
        <v>78.497</v>
      </c>
      <c r="H66" s="45">
        <v>34.49</v>
      </c>
      <c r="I66" s="45"/>
      <c r="J66" s="45">
        <v>49.866</v>
      </c>
      <c r="K66" s="45">
        <v>50.984</v>
      </c>
      <c r="L66" s="45">
        <v>43.437</v>
      </c>
      <c r="M66" s="45">
        <v>47.548</v>
      </c>
      <c r="N66" s="45">
        <v>64.419</v>
      </c>
      <c r="O66" s="45">
        <v>99.185</v>
      </c>
      <c r="P66" s="45">
        <v>82.387</v>
      </c>
      <c r="Q66" s="45">
        <v>80.73</v>
      </c>
    </row>
    <row r="67" spans="1:17" ht="15.75">
      <c r="A67" s="82" t="s">
        <v>236</v>
      </c>
      <c r="B67" s="49">
        <v>24</v>
      </c>
      <c r="C67" s="50">
        <v>74.014</v>
      </c>
      <c r="D67" s="51">
        <v>78.262</v>
      </c>
      <c r="E67" s="50">
        <v>57.8</v>
      </c>
      <c r="F67" s="50"/>
      <c r="G67" s="50">
        <v>78.497</v>
      </c>
      <c r="H67" s="50">
        <v>34.49</v>
      </c>
      <c r="I67" s="50"/>
      <c r="J67" s="50">
        <v>49.866</v>
      </c>
      <c r="K67" s="50">
        <v>50.984</v>
      </c>
      <c r="L67" s="50">
        <v>43.437</v>
      </c>
      <c r="M67" s="50">
        <v>47.548</v>
      </c>
      <c r="N67" s="50">
        <v>64.419</v>
      </c>
      <c r="O67" s="50">
        <v>99.185</v>
      </c>
      <c r="P67" s="50">
        <v>82.387</v>
      </c>
      <c r="Q67" s="50">
        <v>80.73</v>
      </c>
    </row>
    <row r="68" spans="1:17" ht="15.75">
      <c r="A68" s="82" t="s">
        <v>237</v>
      </c>
      <c r="B68" s="49">
        <v>44</v>
      </c>
      <c r="C68" s="50">
        <v>85.172</v>
      </c>
      <c r="D68" s="51">
        <v>90.06</v>
      </c>
      <c r="E68" s="50">
        <v>66.513</v>
      </c>
      <c r="F68" s="50"/>
      <c r="G68" s="50">
        <v>90.331</v>
      </c>
      <c r="H68" s="50">
        <v>39.69</v>
      </c>
      <c r="I68" s="50"/>
      <c r="J68" s="50">
        <v>57.383</v>
      </c>
      <c r="K68" s="50">
        <v>58.67</v>
      </c>
      <c r="L68" s="50">
        <v>49.985</v>
      </c>
      <c r="M68" s="50">
        <v>54.717</v>
      </c>
      <c r="N68" s="50">
        <v>74.131</v>
      </c>
      <c r="O68" s="50">
        <v>114.137</v>
      </c>
      <c r="P68" s="50">
        <v>94.807</v>
      </c>
      <c r="Q68" s="50">
        <v>92.9</v>
      </c>
    </row>
    <row r="69" spans="1:17" ht="15.75">
      <c r="A69" s="82" t="s">
        <v>238</v>
      </c>
      <c r="B69" s="49">
        <v>52</v>
      </c>
      <c r="C69" s="50"/>
      <c r="D69" s="51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5.75">
      <c r="A70" s="82" t="s">
        <v>239</v>
      </c>
      <c r="B70" s="49">
        <v>72</v>
      </c>
      <c r="C70" s="50">
        <v>81.242</v>
      </c>
      <c r="D70" s="51">
        <v>85.903</v>
      </c>
      <c r="E70" s="50">
        <v>64.398</v>
      </c>
      <c r="F70" s="50"/>
      <c r="G70" s="50">
        <v>86.162</v>
      </c>
      <c r="H70" s="50">
        <v>37.858</v>
      </c>
      <c r="I70" s="50"/>
      <c r="J70" s="50">
        <v>54.735</v>
      </c>
      <c r="K70" s="50">
        <v>55.962</v>
      </c>
      <c r="L70" s="50">
        <v>47.678</v>
      </c>
      <c r="M70" s="50">
        <v>55.129</v>
      </c>
      <c r="N70" s="50">
        <v>70.71</v>
      </c>
      <c r="O70" s="50">
        <v>108.87</v>
      </c>
      <c r="P70" s="50">
        <v>90.432</v>
      </c>
      <c r="Q70" s="50">
        <v>88.613</v>
      </c>
    </row>
    <row r="71" spans="1:17" ht="15.75">
      <c r="A71" s="82" t="s">
        <v>240</v>
      </c>
      <c r="B71" s="49">
        <v>105</v>
      </c>
      <c r="C71" s="50">
        <v>85.541</v>
      </c>
      <c r="D71" s="51">
        <v>90.45</v>
      </c>
      <c r="E71" s="50">
        <v>67.806</v>
      </c>
      <c r="F71" s="50"/>
      <c r="G71" s="50">
        <v>90.722</v>
      </c>
      <c r="H71" s="50">
        <v>39.862</v>
      </c>
      <c r="I71" s="50"/>
      <c r="J71" s="50">
        <v>57.631</v>
      </c>
      <c r="K71" s="50">
        <v>58.924</v>
      </c>
      <c r="L71" s="50">
        <v>50.202</v>
      </c>
      <c r="M71" s="50">
        <v>58.047</v>
      </c>
      <c r="N71" s="50">
        <v>74.452</v>
      </c>
      <c r="O71" s="50">
        <v>114.632</v>
      </c>
      <c r="P71" s="50">
        <v>95.217</v>
      </c>
      <c r="Q71" s="50">
        <v>93.302</v>
      </c>
    </row>
    <row r="72" spans="1:17" ht="15.75">
      <c r="A72" s="82" t="s">
        <v>241</v>
      </c>
      <c r="B72" s="49">
        <v>173</v>
      </c>
      <c r="C72" s="50">
        <v>89.85</v>
      </c>
      <c r="D72" s="51">
        <v>95.006</v>
      </c>
      <c r="E72" s="50">
        <v>71.221</v>
      </c>
      <c r="F72" s="50"/>
      <c r="G72" s="50">
        <v>95.292</v>
      </c>
      <c r="H72" s="50">
        <v>41.87</v>
      </c>
      <c r="I72" s="50"/>
      <c r="J72" s="50">
        <v>60.534</v>
      </c>
      <c r="K72" s="50">
        <v>61.892</v>
      </c>
      <c r="L72" s="50">
        <v>52.731</v>
      </c>
      <c r="M72" s="50">
        <v>60.971</v>
      </c>
      <c r="N72" s="50">
        <v>78.202</v>
      </c>
      <c r="O72" s="50">
        <v>120.406</v>
      </c>
      <c r="P72" s="50">
        <v>100.013</v>
      </c>
      <c r="Q72" s="50">
        <v>98.002</v>
      </c>
    </row>
    <row r="73" spans="1:17" ht="15.75">
      <c r="A73" s="82" t="s">
        <v>242</v>
      </c>
      <c r="B73" s="49">
        <v>194</v>
      </c>
      <c r="C73" s="50"/>
      <c r="D73" s="51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5.75">
      <c r="A74" s="82" t="s">
        <v>243</v>
      </c>
      <c r="B74" s="49">
        <v>226</v>
      </c>
      <c r="C74" s="50">
        <v>100.244</v>
      </c>
      <c r="D74" s="51">
        <v>105.996</v>
      </c>
      <c r="E74" s="50">
        <v>79.46</v>
      </c>
      <c r="F74" s="50"/>
      <c r="G74" s="50">
        <v>106.315</v>
      </c>
      <c r="H74" s="50">
        <v>46.713</v>
      </c>
      <c r="I74" s="50"/>
      <c r="J74" s="50">
        <v>67.536</v>
      </c>
      <c r="K74" s="50">
        <v>69.052</v>
      </c>
      <c r="L74" s="50">
        <v>58.831</v>
      </c>
      <c r="M74" s="50">
        <v>68.024</v>
      </c>
      <c r="N74" s="50">
        <v>87.249</v>
      </c>
      <c r="O74" s="50">
        <v>134.335</v>
      </c>
      <c r="P74" s="50">
        <v>111.583</v>
      </c>
      <c r="Q74" s="50">
        <v>109.338</v>
      </c>
    </row>
    <row r="75" spans="1:17" ht="15.75">
      <c r="A75" s="82" t="s">
        <v>244</v>
      </c>
      <c r="B75" s="49">
        <v>242</v>
      </c>
      <c r="C75" s="50">
        <v>95.342</v>
      </c>
      <c r="D75" s="51">
        <v>100.813</v>
      </c>
      <c r="E75" s="50">
        <v>75.575</v>
      </c>
      <c r="F75" s="50"/>
      <c r="G75" s="50">
        <v>101.116</v>
      </c>
      <c r="H75" s="50">
        <v>44.429</v>
      </c>
      <c r="I75" s="50"/>
      <c r="J75" s="50">
        <v>64.234</v>
      </c>
      <c r="K75" s="50">
        <v>65.675</v>
      </c>
      <c r="L75" s="50">
        <v>64.698</v>
      </c>
      <c r="M75" s="50">
        <f>+L75</f>
        <v>64.698</v>
      </c>
      <c r="N75" s="50">
        <v>82.982</v>
      </c>
      <c r="O75" s="50">
        <v>127.766</v>
      </c>
      <c r="P75" s="50">
        <v>106.126</v>
      </c>
      <c r="Q75" s="50">
        <v>103.992</v>
      </c>
    </row>
    <row r="76" spans="1:17" ht="15.75">
      <c r="A76" s="82" t="s">
        <v>245</v>
      </c>
      <c r="B76" s="49">
        <v>5</v>
      </c>
      <c r="C76" s="50">
        <v>87.47</v>
      </c>
      <c r="D76" s="51">
        <v>92.489</v>
      </c>
      <c r="E76" s="50">
        <v>69.335</v>
      </c>
      <c r="F76" s="50"/>
      <c r="G76" s="50">
        <v>92.767</v>
      </c>
      <c r="H76" s="50">
        <v>40.761</v>
      </c>
      <c r="I76" s="50"/>
      <c r="J76" s="50">
        <v>58.93</v>
      </c>
      <c r="K76" s="50">
        <v>60.253</v>
      </c>
      <c r="L76" s="50">
        <v>51.334</v>
      </c>
      <c r="M76" s="50">
        <v>59.356</v>
      </c>
      <c r="N76" s="50">
        <v>76.131</v>
      </c>
      <c r="O76" s="50">
        <v>117.217</v>
      </c>
      <c r="P76" s="50">
        <v>97.364</v>
      </c>
      <c r="Q76" s="50">
        <v>95.406</v>
      </c>
    </row>
    <row r="77" spans="1:17" ht="15.75">
      <c r="A77" s="82" t="s">
        <v>246</v>
      </c>
      <c r="B77" s="49">
        <v>26</v>
      </c>
      <c r="C77" s="50">
        <v>98.302</v>
      </c>
      <c r="D77" s="51">
        <v>103.943</v>
      </c>
      <c r="E77" s="50">
        <v>77.921</v>
      </c>
      <c r="F77" s="50"/>
      <c r="G77" s="50">
        <v>104.256</v>
      </c>
      <c r="H77" s="50">
        <v>45.809</v>
      </c>
      <c r="I77" s="50"/>
      <c r="J77" s="50">
        <v>66.228</v>
      </c>
      <c r="K77" s="50">
        <v>67.714</v>
      </c>
      <c r="L77" s="50">
        <v>57.691</v>
      </c>
      <c r="M77" s="50">
        <v>66.706</v>
      </c>
      <c r="N77" s="50">
        <v>85.559</v>
      </c>
      <c r="O77" s="50">
        <v>131.733</v>
      </c>
      <c r="P77" s="50">
        <v>109.421</v>
      </c>
      <c r="Q77" s="50">
        <v>107.221</v>
      </c>
    </row>
    <row r="78" spans="1:17" ht="15.75">
      <c r="A78" s="82" t="s">
        <v>247</v>
      </c>
      <c r="B78" s="49">
        <v>45</v>
      </c>
      <c r="C78" s="50">
        <v>93.526</v>
      </c>
      <c r="D78" s="51">
        <v>98.87</v>
      </c>
      <c r="E78" s="50">
        <v>74.219</v>
      </c>
      <c r="F78" s="50"/>
      <c r="G78" s="50">
        <v>99.167</v>
      </c>
      <c r="H78" s="50">
        <v>43.797</v>
      </c>
      <c r="I78" s="50"/>
      <c r="J78" s="50">
        <v>63.142</v>
      </c>
      <c r="K78" s="50">
        <v>64.549</v>
      </c>
      <c r="L78" s="50">
        <v>55.054</v>
      </c>
      <c r="M78" s="50">
        <v>63.595</v>
      </c>
      <c r="N78" s="50">
        <v>81.454</v>
      </c>
      <c r="O78" s="50">
        <v>125.196</v>
      </c>
      <c r="P78" s="50">
        <v>104.06</v>
      </c>
      <c r="Q78" s="50">
        <v>101.975</v>
      </c>
    </row>
    <row r="79" spans="1:17" ht="15.75">
      <c r="A79" s="82" t="s">
        <v>248</v>
      </c>
      <c r="B79" s="49">
        <v>65</v>
      </c>
      <c r="C79" s="50">
        <v>86.771</v>
      </c>
      <c r="D79" s="51">
        <v>91.575</v>
      </c>
      <c r="E79" s="50">
        <v>69.418</v>
      </c>
      <c r="F79" s="50"/>
      <c r="G79" s="50">
        <v>91.841</v>
      </c>
      <c r="H79" s="50">
        <v>42.076</v>
      </c>
      <c r="I79" s="50"/>
      <c r="J79" s="50">
        <v>59.462</v>
      </c>
      <c r="K79" s="50">
        <v>60.727</v>
      </c>
      <c r="L79" s="50">
        <v>52.193</v>
      </c>
      <c r="M79" s="50">
        <v>59.869</v>
      </c>
      <c r="N79" s="50">
        <v>75.921</v>
      </c>
      <c r="O79" s="50">
        <v>115.236</v>
      </c>
      <c r="P79" s="50">
        <v>96.239</v>
      </c>
      <c r="Q79" s="50">
        <v>94.365</v>
      </c>
    </row>
    <row r="80" spans="1:17" ht="15.75">
      <c r="A80" s="82" t="s">
        <v>249</v>
      </c>
      <c r="B80" s="49">
        <v>80</v>
      </c>
      <c r="C80" s="50"/>
      <c r="D80" s="51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5.75">
      <c r="A81" s="82" t="s">
        <v>250</v>
      </c>
      <c r="B81" s="49">
        <v>82</v>
      </c>
      <c r="C81" s="50">
        <v>92.754</v>
      </c>
      <c r="D81" s="51">
        <v>97.888</v>
      </c>
      <c r="E81" s="50">
        <v>74.204</v>
      </c>
      <c r="F81" s="50"/>
      <c r="G81" s="50">
        <v>98.173</v>
      </c>
      <c r="H81" s="50">
        <v>44.976</v>
      </c>
      <c r="I81" s="50"/>
      <c r="J81" s="50">
        <v>63.562</v>
      </c>
      <c r="K81" s="50">
        <v>64.914</v>
      </c>
      <c r="L81" s="50">
        <v>55.791</v>
      </c>
      <c r="M81" s="50">
        <v>63.997</v>
      </c>
      <c r="N81" s="50">
        <f>+M81</f>
        <v>63.997</v>
      </c>
      <c r="O81" s="50">
        <v>123.181</v>
      </c>
      <c r="P81" s="50">
        <v>102.874</v>
      </c>
      <c r="Q81" s="50">
        <v>100.871</v>
      </c>
    </row>
    <row r="82" spans="1:17" ht="15.75">
      <c r="A82" s="82" t="s">
        <v>251</v>
      </c>
      <c r="B82" s="49">
        <v>132</v>
      </c>
      <c r="C82" s="50">
        <v>90.73</v>
      </c>
      <c r="D82" s="51">
        <v>95.657</v>
      </c>
      <c r="E82" s="50">
        <v>73.155</v>
      </c>
      <c r="F82" s="50"/>
      <c r="G82" s="50">
        <v>95.915</v>
      </c>
      <c r="H82" s="50">
        <v>45.143</v>
      </c>
      <c r="I82" s="50"/>
      <c r="J82" s="50">
        <v>62.851</v>
      </c>
      <c r="K82" s="50">
        <v>64.326</v>
      </c>
      <c r="L82" s="50">
        <v>55.42</v>
      </c>
      <c r="M82" s="50">
        <v>63.281</v>
      </c>
      <c r="N82" s="50">
        <v>79.702</v>
      </c>
      <c r="O82" s="50">
        <v>119.626</v>
      </c>
      <c r="P82" s="50">
        <v>100.282</v>
      </c>
      <c r="Q82" s="50">
        <v>98.369</v>
      </c>
    </row>
    <row r="83" spans="1:17" ht="15.75">
      <c r="A83" s="82" t="s">
        <v>252</v>
      </c>
      <c r="B83" s="49">
        <v>146</v>
      </c>
      <c r="C83" s="50">
        <v>89.33</v>
      </c>
      <c r="D83" s="51">
        <v>94.158</v>
      </c>
      <c r="E83" s="50">
        <v>71.845</v>
      </c>
      <c r="F83" s="50"/>
      <c r="G83" s="50">
        <v>95.915</v>
      </c>
      <c r="H83" s="50">
        <v>44.353</v>
      </c>
      <c r="I83" s="50"/>
      <c r="J83" s="50">
        <v>62.851</v>
      </c>
      <c r="K83" s="50">
        <v>63.103</v>
      </c>
      <c r="L83" s="50">
        <v>55.42</v>
      </c>
      <c r="M83" s="50">
        <v>62.367</v>
      </c>
      <c r="N83" s="50">
        <v>72.505</v>
      </c>
      <c r="O83" s="50">
        <v>117.409</v>
      </c>
      <c r="P83" s="50">
        <v>100.282</v>
      </c>
      <c r="Q83" s="50">
        <v>98.369</v>
      </c>
    </row>
    <row r="84" spans="1:17" ht="15.75">
      <c r="A84" s="82" t="s">
        <v>253</v>
      </c>
      <c r="B84" s="49">
        <v>150</v>
      </c>
      <c r="C84" s="50">
        <v>82.488</v>
      </c>
      <c r="D84" s="51">
        <v>86.946</v>
      </c>
      <c r="E84" s="50">
        <v>66.342</v>
      </c>
      <c r="F84" s="50"/>
      <c r="G84" s="50">
        <v>88.569</v>
      </c>
      <c r="H84" s="50">
        <v>40.956</v>
      </c>
      <c r="I84" s="50"/>
      <c r="J84" s="50">
        <v>58.037</v>
      </c>
      <c r="K84" s="50">
        <v>58.27</v>
      </c>
      <c r="L84" s="50">
        <v>51.176</v>
      </c>
      <c r="M84" s="50">
        <v>57.59</v>
      </c>
      <c r="N84" s="50">
        <v>66.952</v>
      </c>
      <c r="O84" s="50">
        <v>108.417</v>
      </c>
      <c r="P84" s="50">
        <v>92.602</v>
      </c>
      <c r="Q84" s="50">
        <v>90.835</v>
      </c>
    </row>
    <row r="85" spans="1:17" ht="15.75">
      <c r="A85" s="82" t="s">
        <v>254</v>
      </c>
      <c r="B85" s="52">
        <v>175</v>
      </c>
      <c r="C85" s="50">
        <v>88.023</v>
      </c>
      <c r="D85" s="51">
        <v>92.78</v>
      </c>
      <c r="E85" s="50">
        <v>70.794</v>
      </c>
      <c r="F85" s="50"/>
      <c r="G85" s="50">
        <v>94.512</v>
      </c>
      <c r="H85" s="50">
        <v>43.704</v>
      </c>
      <c r="I85" s="50"/>
      <c r="J85" s="50">
        <v>61.931</v>
      </c>
      <c r="K85" s="50">
        <v>62.18</v>
      </c>
      <c r="L85" s="50">
        <v>54.61</v>
      </c>
      <c r="M85" s="50">
        <v>61.454</v>
      </c>
      <c r="N85" s="50">
        <v>71.444</v>
      </c>
      <c r="O85" s="50">
        <v>115.692</v>
      </c>
      <c r="P85" s="50">
        <v>98.815</v>
      </c>
      <c r="Q85" s="50">
        <v>96.93</v>
      </c>
    </row>
    <row r="86" spans="1:17" ht="15.75">
      <c r="A86" s="82" t="s">
        <v>255</v>
      </c>
      <c r="B86" s="52">
        <v>195</v>
      </c>
      <c r="C86" s="50">
        <v>83.549</v>
      </c>
      <c r="D86" s="51">
        <v>88.065</v>
      </c>
      <c r="E86" s="50">
        <v>67.196</v>
      </c>
      <c r="F86" s="50"/>
      <c r="G86" s="50">
        <v>89.709</v>
      </c>
      <c r="H86" s="50">
        <v>41.483</v>
      </c>
      <c r="I86" s="50"/>
      <c r="J86" s="50">
        <v>58.784</v>
      </c>
      <c r="K86" s="50">
        <v>59.02</v>
      </c>
      <c r="L86" s="50">
        <v>51.834</v>
      </c>
      <c r="M86" s="50">
        <v>58.331</v>
      </c>
      <c r="N86" s="50">
        <v>67.813</v>
      </c>
      <c r="O86" s="50">
        <v>109.812</v>
      </c>
      <c r="P86" s="50">
        <v>93.793</v>
      </c>
      <c r="Q86" s="50">
        <v>92.004</v>
      </c>
    </row>
    <row r="87" spans="1:17" ht="15.75">
      <c r="A87" s="82" t="s">
        <v>24</v>
      </c>
      <c r="B87" s="52">
        <v>212</v>
      </c>
      <c r="C87" s="50">
        <v>72.09</v>
      </c>
      <c r="D87" s="51">
        <v>75.986</v>
      </c>
      <c r="E87" s="50">
        <v>57.98</v>
      </c>
      <c r="F87" s="50"/>
      <c r="G87" s="50">
        <v>77.404</v>
      </c>
      <c r="H87" s="50">
        <v>35.793</v>
      </c>
      <c r="I87" s="50"/>
      <c r="J87" s="50">
        <v>50.721</v>
      </c>
      <c r="K87" s="50">
        <v>50.925</v>
      </c>
      <c r="L87" s="50">
        <v>44.725</v>
      </c>
      <c r="M87" s="50">
        <v>50.33</v>
      </c>
      <c r="N87" s="50">
        <v>58.512</v>
      </c>
      <c r="O87" s="50">
        <v>94.75</v>
      </c>
      <c r="P87" s="50">
        <v>80.929</v>
      </c>
      <c r="Q87" s="50">
        <v>79.385</v>
      </c>
    </row>
    <row r="88" spans="1:17" ht="15.75">
      <c r="A88" s="82" t="s">
        <v>25</v>
      </c>
      <c r="B88" s="52">
        <v>233</v>
      </c>
      <c r="C88" s="50">
        <v>65.599</v>
      </c>
      <c r="D88" s="51">
        <v>69.144</v>
      </c>
      <c r="E88" s="50">
        <v>52.759</v>
      </c>
      <c r="F88" s="50"/>
      <c r="G88" s="50">
        <v>70.435</v>
      </c>
      <c r="H88" s="50">
        <v>32.57</v>
      </c>
      <c r="I88" s="50"/>
      <c r="J88" s="50">
        <v>46.154</v>
      </c>
      <c r="K88" s="50">
        <v>46.339</v>
      </c>
      <c r="L88" s="50">
        <v>40.698</v>
      </c>
      <c r="M88" s="50">
        <v>45.799</v>
      </c>
      <c r="N88" s="50">
        <v>53.243</v>
      </c>
      <c r="O88" s="50">
        <v>86.219</v>
      </c>
      <c r="P88" s="50">
        <v>73.642</v>
      </c>
      <c r="Q88" s="50">
        <v>72.237</v>
      </c>
    </row>
    <row r="89" spans="1:17" ht="15.75">
      <c r="A89" s="82" t="s">
        <v>256</v>
      </c>
      <c r="B89" s="49">
        <v>2</v>
      </c>
      <c r="C89" s="50">
        <v>62.409</v>
      </c>
      <c r="D89" s="51">
        <v>65.782</v>
      </c>
      <c r="E89" s="50">
        <v>50.193</v>
      </c>
      <c r="F89" s="50"/>
      <c r="G89" s="50">
        <v>67.009</v>
      </c>
      <c r="H89" s="50">
        <v>30.986</v>
      </c>
      <c r="I89" s="50"/>
      <c r="J89" s="50">
        <v>43.91</v>
      </c>
      <c r="K89" s="50">
        <v>44.086</v>
      </c>
      <c r="L89" s="50">
        <v>38.718</v>
      </c>
      <c r="M89" s="50">
        <v>43.571</v>
      </c>
      <c r="N89" s="50">
        <v>50.654</v>
      </c>
      <c r="O89" s="50">
        <v>82.026</v>
      </c>
      <c r="P89" s="50">
        <v>70.061</v>
      </c>
      <c r="Q89" s="50">
        <v>68.724</v>
      </c>
    </row>
    <row r="90" spans="1:17" ht="15.75">
      <c r="A90" s="82" t="s">
        <v>257</v>
      </c>
      <c r="B90" s="49">
        <v>26</v>
      </c>
      <c r="C90" s="50">
        <v>68.307</v>
      </c>
      <c r="D90" s="51">
        <v>71.999</v>
      </c>
      <c r="E90" s="50">
        <v>54.937</v>
      </c>
      <c r="F90" s="50"/>
      <c r="G90" s="50">
        <v>73.343</v>
      </c>
      <c r="H90" s="50">
        <v>33.915</v>
      </c>
      <c r="I90" s="50"/>
      <c r="J90" s="50">
        <v>48.06</v>
      </c>
      <c r="K90" s="50">
        <v>48.253</v>
      </c>
      <c r="L90" s="50">
        <v>42.378</v>
      </c>
      <c r="M90" s="50">
        <v>47.689</v>
      </c>
      <c r="N90" s="50">
        <v>55.442</v>
      </c>
      <c r="O90" s="50">
        <v>89.778</v>
      </c>
      <c r="P90" s="50">
        <v>76.682</v>
      </c>
      <c r="Q90" s="50">
        <v>75.219</v>
      </c>
    </row>
    <row r="91" spans="1:17" ht="15.75">
      <c r="A91" s="82" t="s">
        <v>258</v>
      </c>
      <c r="B91" s="49">
        <v>30</v>
      </c>
      <c r="C91" s="50">
        <v>68.307</v>
      </c>
      <c r="D91" s="51">
        <v>71.999</v>
      </c>
      <c r="E91" s="50">
        <v>54.937</v>
      </c>
      <c r="F91" s="50"/>
      <c r="G91" s="50">
        <v>73.343</v>
      </c>
      <c r="H91" s="50">
        <v>33.915</v>
      </c>
      <c r="I91" s="50"/>
      <c r="J91" s="50">
        <v>48.06</v>
      </c>
      <c r="K91" s="50">
        <v>48.253</v>
      </c>
      <c r="L91" s="50">
        <v>42.378</v>
      </c>
      <c r="M91" s="50">
        <v>47.689</v>
      </c>
      <c r="N91" s="50">
        <v>55.442</v>
      </c>
      <c r="O91" s="50">
        <v>89.778</v>
      </c>
      <c r="P91" s="50">
        <v>76.682</v>
      </c>
      <c r="Q91" s="50">
        <v>75.219</v>
      </c>
    </row>
    <row r="92" spans="1:17" ht="15.75">
      <c r="A92" s="82" t="s">
        <v>259</v>
      </c>
      <c r="B92" s="52">
        <v>53</v>
      </c>
      <c r="C92" s="50">
        <v>73.262</v>
      </c>
      <c r="D92" s="51">
        <v>77.222</v>
      </c>
      <c r="E92" s="50">
        <v>58.922</v>
      </c>
      <c r="F92" s="50"/>
      <c r="G92" s="50">
        <v>78.663</v>
      </c>
      <c r="H92" s="50">
        <v>36.375</v>
      </c>
      <c r="I92" s="50"/>
      <c r="J92" s="50">
        <v>51.546</v>
      </c>
      <c r="K92" s="50">
        <v>51.753</v>
      </c>
      <c r="L92" s="50">
        <v>45.452</v>
      </c>
      <c r="M92" s="50">
        <v>51.149</v>
      </c>
      <c r="N92" s="50">
        <v>59.464</v>
      </c>
      <c r="O92" s="50">
        <v>96.291</v>
      </c>
      <c r="P92" s="50">
        <v>82.245</v>
      </c>
      <c r="Q92" s="50">
        <v>80.676</v>
      </c>
    </row>
    <row r="93" spans="1:17" ht="15.75">
      <c r="A93" s="82" t="s">
        <v>260</v>
      </c>
      <c r="B93" s="52">
        <v>64</v>
      </c>
      <c r="C93" s="50">
        <v>75.826</v>
      </c>
      <c r="D93" s="51">
        <v>79.925</v>
      </c>
      <c r="E93" s="50">
        <v>60.985</v>
      </c>
      <c r="F93" s="50"/>
      <c r="G93" s="50">
        <v>81.416</v>
      </c>
      <c r="H93" s="50">
        <v>37.648</v>
      </c>
      <c r="I93" s="50"/>
      <c r="J93" s="50">
        <v>53.35</v>
      </c>
      <c r="K93" s="50">
        <v>53.564</v>
      </c>
      <c r="L93" s="50">
        <v>47.043</v>
      </c>
      <c r="M93" s="50">
        <v>52.939</v>
      </c>
      <c r="N93" s="50">
        <v>61.545</v>
      </c>
      <c r="O93" s="50">
        <v>99.661</v>
      </c>
      <c r="P93" s="50">
        <v>85.123</v>
      </c>
      <c r="Q93" s="50">
        <v>83.5</v>
      </c>
    </row>
    <row r="94" spans="1:17" ht="15.75">
      <c r="A94" s="82" t="s">
        <v>261</v>
      </c>
      <c r="B94" s="52">
        <v>76</v>
      </c>
      <c r="C94" s="50">
        <v>93.886</v>
      </c>
      <c r="D94" s="51">
        <v>98.961</v>
      </c>
      <c r="E94" s="50">
        <v>75.51</v>
      </c>
      <c r="F94" s="50"/>
      <c r="G94" s="50">
        <v>100.808</v>
      </c>
      <c r="H94" s="50">
        <v>46.615</v>
      </c>
      <c r="I94" s="50"/>
      <c r="J94" s="50">
        <v>66.057</v>
      </c>
      <c r="K94" s="50">
        <v>66.322</v>
      </c>
      <c r="L94" s="50">
        <v>58.247</v>
      </c>
      <c r="M94" s="50">
        <v>65.548</v>
      </c>
      <c r="N94" s="50">
        <v>76.203</v>
      </c>
      <c r="O94" s="50">
        <v>123.399</v>
      </c>
      <c r="P94" s="50">
        <v>105.398</v>
      </c>
      <c r="Q94" s="50">
        <v>103.387</v>
      </c>
    </row>
    <row r="95" spans="1:17" ht="15.75">
      <c r="A95" s="82" t="s">
        <v>121</v>
      </c>
      <c r="B95" s="52">
        <v>90</v>
      </c>
      <c r="C95" s="50">
        <v>93.886</v>
      </c>
      <c r="D95" s="51">
        <v>98.961</v>
      </c>
      <c r="E95" s="50">
        <v>75.51</v>
      </c>
      <c r="F95" s="50"/>
      <c r="G95" s="50">
        <v>100.808</v>
      </c>
      <c r="H95" s="50">
        <v>46.615</v>
      </c>
      <c r="I95" s="50"/>
      <c r="J95" s="50">
        <v>66.057</v>
      </c>
      <c r="K95" s="50">
        <v>66.322</v>
      </c>
      <c r="L95" s="50">
        <v>58.247</v>
      </c>
      <c r="M95" s="50">
        <v>65.548</v>
      </c>
      <c r="N95" s="50">
        <v>76.203</v>
      </c>
      <c r="O95" s="50">
        <v>123.399</v>
      </c>
      <c r="P95" s="50">
        <v>105.398</v>
      </c>
      <c r="Q95" s="50">
        <v>103.387</v>
      </c>
    </row>
    <row r="96" spans="1:17" ht="15.75">
      <c r="A96" s="82" t="s">
        <v>265</v>
      </c>
      <c r="B96" s="49">
        <v>148</v>
      </c>
      <c r="C96" s="50">
        <v>99.22</v>
      </c>
      <c r="D96" s="51">
        <v>104.582</v>
      </c>
      <c r="E96" s="50">
        <v>79.799</v>
      </c>
      <c r="F96" s="50"/>
      <c r="G96" s="50">
        <v>106.534</v>
      </c>
      <c r="H96" s="50">
        <v>49.263</v>
      </c>
      <c r="I96" s="50"/>
      <c r="J96" s="50">
        <v>69.809</v>
      </c>
      <c r="K96" s="50">
        <v>70.09</v>
      </c>
      <c r="L96" s="50">
        <v>61.556</v>
      </c>
      <c r="M96" s="50">
        <v>69.272</v>
      </c>
      <c r="N96" s="50">
        <v>80.532</v>
      </c>
      <c r="O96" s="50">
        <v>130.408</v>
      </c>
      <c r="P96" s="50">
        <v>111.385</v>
      </c>
      <c r="Q96" s="50">
        <v>109.26</v>
      </c>
    </row>
    <row r="97" spans="1:17" ht="15.75">
      <c r="A97" s="82" t="s">
        <v>264</v>
      </c>
      <c r="B97" s="49">
        <v>180</v>
      </c>
      <c r="C97" s="50">
        <v>103.687</v>
      </c>
      <c r="D97" s="51">
        <v>109.292</v>
      </c>
      <c r="E97" s="50">
        <v>83.393</v>
      </c>
      <c r="F97" s="50"/>
      <c r="G97" s="50">
        <v>111.331</v>
      </c>
      <c r="H97" s="50">
        <v>51.481</v>
      </c>
      <c r="I97" s="50"/>
      <c r="J97" s="50">
        <v>72.953</v>
      </c>
      <c r="K97" s="50">
        <v>73.246</v>
      </c>
      <c r="L97" s="50">
        <v>64.328</v>
      </c>
      <c r="M97" s="50">
        <v>72.391</v>
      </c>
      <c r="N97" s="50">
        <v>84.158</v>
      </c>
      <c r="O97" s="50">
        <v>136.28</v>
      </c>
      <c r="P97" s="50">
        <v>116.4</v>
      </c>
      <c r="Q97" s="50">
        <v>114.18</v>
      </c>
    </row>
    <row r="98" spans="1:17" ht="15.75">
      <c r="A98" s="82" t="s">
        <v>263</v>
      </c>
      <c r="B98" s="49">
        <v>212</v>
      </c>
      <c r="C98" s="50">
        <v>114.054</v>
      </c>
      <c r="D98" s="51">
        <v>120.218</v>
      </c>
      <c r="E98" s="50">
        <v>91.73</v>
      </c>
      <c r="F98" s="50"/>
      <c r="G98" s="50">
        <v>122.462</v>
      </c>
      <c r="H98" s="50">
        <v>56.628</v>
      </c>
      <c r="I98" s="50"/>
      <c r="J98" s="50">
        <v>80.246</v>
      </c>
      <c r="K98" s="50">
        <v>80.569</v>
      </c>
      <c r="L98" s="50">
        <v>70.759</v>
      </c>
      <c r="M98" s="50">
        <v>79.628</v>
      </c>
      <c r="N98" s="50">
        <v>92.572</v>
      </c>
      <c r="O98" s="50">
        <v>149.905</v>
      </c>
      <c r="P98" s="50">
        <v>128.038</v>
      </c>
      <c r="Q98" s="50">
        <v>125.596</v>
      </c>
    </row>
    <row r="99" spans="1:17" ht="15.75">
      <c r="A99" s="82" t="s">
        <v>262</v>
      </c>
      <c r="B99" s="49">
        <v>233</v>
      </c>
      <c r="C99" s="50">
        <v>102.086</v>
      </c>
      <c r="D99" s="51">
        <v>107.64</v>
      </c>
      <c r="E99" s="50">
        <v>82.105</v>
      </c>
      <c r="F99" s="50"/>
      <c r="G99" s="50">
        <v>109.612</v>
      </c>
      <c r="H99" s="50">
        <v>50.686</v>
      </c>
      <c r="I99" s="50"/>
      <c r="J99" s="50">
        <v>71.826</v>
      </c>
      <c r="K99" s="50">
        <v>72.114</v>
      </c>
      <c r="L99" s="50">
        <v>63.334</v>
      </c>
      <c r="M99" s="50">
        <v>71.273</v>
      </c>
      <c r="N99" s="50">
        <v>82.859</v>
      </c>
      <c r="O99" s="50">
        <v>134.176</v>
      </c>
      <c r="P99" s="50">
        <v>114.603</v>
      </c>
      <c r="Q99" s="50">
        <v>112.417</v>
      </c>
    </row>
    <row r="100" spans="1:17" ht="15.75">
      <c r="A100" s="82" t="s">
        <v>102</v>
      </c>
      <c r="B100" s="49">
        <v>12</v>
      </c>
      <c r="C100" s="50">
        <v>108.595</v>
      </c>
      <c r="D100" s="51">
        <v>114.464</v>
      </c>
      <c r="E100" s="50">
        <v>87.34</v>
      </c>
      <c r="F100" s="50"/>
      <c r="G100" s="50">
        <v>166.601</v>
      </c>
      <c r="H100" s="50">
        <v>53.918</v>
      </c>
      <c r="I100" s="50"/>
      <c r="J100" s="50">
        <v>76.406</v>
      </c>
      <c r="K100" s="50">
        <v>76.712</v>
      </c>
      <c r="L100" s="50">
        <v>67.372</v>
      </c>
      <c r="M100" s="50">
        <v>75.817</v>
      </c>
      <c r="N100" s="50">
        <v>88.142</v>
      </c>
      <c r="O100" s="50">
        <v>142.73</v>
      </c>
      <c r="P100" s="50">
        <v>121.91</v>
      </c>
      <c r="Q100" s="50">
        <v>119.584</v>
      </c>
    </row>
    <row r="101" spans="1:17" ht="15.75">
      <c r="A101" s="82" t="s">
        <v>123</v>
      </c>
      <c r="B101" s="49">
        <v>33</v>
      </c>
      <c r="C101" s="50">
        <v>132.693</v>
      </c>
      <c r="D101" s="51">
        <v>139.865</v>
      </c>
      <c r="E101" s="50">
        <v>106.721</v>
      </c>
      <c r="F101" s="50"/>
      <c r="G101" s="50">
        <v>142.476</v>
      </c>
      <c r="H101" s="50">
        <v>65.883</v>
      </c>
      <c r="I101" s="50"/>
      <c r="J101" s="50">
        <v>93.361</v>
      </c>
      <c r="K101" s="50">
        <v>93.736</v>
      </c>
      <c r="L101" s="50">
        <v>82.323</v>
      </c>
      <c r="M101" s="50">
        <v>92.642</v>
      </c>
      <c r="N101" s="50">
        <v>107.701</v>
      </c>
      <c r="O101" s="50">
        <v>174.701</v>
      </c>
      <c r="P101" s="50">
        <v>148.963</v>
      </c>
      <c r="Q101" s="50">
        <v>146.122</v>
      </c>
    </row>
    <row r="102" spans="1:17" ht="15.75">
      <c r="A102" s="83" t="s">
        <v>267</v>
      </c>
      <c r="B102" s="3">
        <v>56</v>
      </c>
      <c r="C102" s="7">
        <v>144.619</v>
      </c>
      <c r="D102" s="53">
        <v>144.619</v>
      </c>
      <c r="E102" s="7">
        <v>116.313</v>
      </c>
      <c r="F102" s="7"/>
      <c r="G102" s="7">
        <v>155.281</v>
      </c>
      <c r="H102" s="7">
        <v>70.804</v>
      </c>
      <c r="I102" s="7"/>
      <c r="J102" s="7">
        <v>101.752</v>
      </c>
      <c r="K102" s="7">
        <v>102.16</v>
      </c>
      <c r="L102" s="7">
        <v>89.722</v>
      </c>
      <c r="M102" s="7">
        <v>100.968</v>
      </c>
      <c r="N102" s="7">
        <v>117.381</v>
      </c>
      <c r="O102" s="7">
        <v>190.079</v>
      </c>
      <c r="P102" s="7">
        <v>162.351</v>
      </c>
      <c r="Q102" s="7">
        <v>159.254</v>
      </c>
    </row>
    <row r="103" spans="1:17" ht="15.75">
      <c r="A103" s="83" t="s">
        <v>268</v>
      </c>
      <c r="B103" s="3">
        <v>77</v>
      </c>
      <c r="C103" s="7">
        <v>114.792</v>
      </c>
      <c r="D103" s="53">
        <v>120.996</v>
      </c>
      <c r="E103" s="7">
        <v>92.324</v>
      </c>
      <c r="F103" s="7"/>
      <c r="G103" s="7">
        <v>123.255</v>
      </c>
      <c r="H103" s="7">
        <v>56.995</v>
      </c>
      <c r="I103" s="7"/>
      <c r="J103" s="7">
        <v>80.766</v>
      </c>
      <c r="K103" s="7">
        <v>81.09</v>
      </c>
      <c r="L103" s="7">
        <v>71.217</v>
      </c>
      <c r="M103" s="7">
        <v>80.144</v>
      </c>
      <c r="N103" s="7">
        <v>93.172</v>
      </c>
      <c r="O103" s="7">
        <v>150.876</v>
      </c>
      <c r="P103" s="7">
        <v>128.867</v>
      </c>
      <c r="Q103" s="7">
        <v>126.409</v>
      </c>
    </row>
    <row r="104" spans="1:17" ht="15.75">
      <c r="A104" s="83" t="s">
        <v>124</v>
      </c>
      <c r="B104" s="3">
        <v>96</v>
      </c>
      <c r="C104" s="7">
        <v>107.157</v>
      </c>
      <c r="D104" s="53">
        <v>112.83</v>
      </c>
      <c r="E104" s="7">
        <v>86.612</v>
      </c>
      <c r="F104" s="7"/>
      <c r="G104" s="7">
        <v>112.706</v>
      </c>
      <c r="H104" s="7">
        <v>54.307</v>
      </c>
      <c r="I104" s="7"/>
      <c r="J104" s="7">
        <v>73.853</v>
      </c>
      <c r="K104" s="7">
        <v>74.15</v>
      </c>
      <c r="L104" s="7">
        <v>65.122</v>
      </c>
      <c r="M104" s="7">
        <v>75.475</v>
      </c>
      <c r="N104" s="7">
        <v>85.197</v>
      </c>
      <c r="O104" s="7">
        <v>137.963</v>
      </c>
      <c r="P104" s="7">
        <v>117.837</v>
      </c>
      <c r="Q104" s="7">
        <v>115.59</v>
      </c>
    </row>
    <row r="105" spans="1:17" ht="15.75">
      <c r="A105" s="83" t="s">
        <v>269</v>
      </c>
      <c r="B105" s="3">
        <v>123</v>
      </c>
      <c r="C105" s="7">
        <v>117.829</v>
      </c>
      <c r="D105" s="53">
        <v>124.067</v>
      </c>
      <c r="E105" s="7">
        <v>95.238</v>
      </c>
      <c r="F105" s="7"/>
      <c r="G105" s="7">
        <v>123.93</v>
      </c>
      <c r="H105" s="7">
        <v>59.716</v>
      </c>
      <c r="I105" s="7"/>
      <c r="J105" s="7">
        <v>81.209</v>
      </c>
      <c r="K105" s="7">
        <v>81.535</v>
      </c>
      <c r="L105" s="7">
        <v>71.608</v>
      </c>
      <c r="M105" s="7">
        <v>82.991</v>
      </c>
      <c r="N105" s="7">
        <v>93.682</v>
      </c>
      <c r="O105" s="7">
        <v>151.703</v>
      </c>
      <c r="P105" s="7">
        <v>129.573</v>
      </c>
      <c r="Q105" s="7">
        <v>127.102</v>
      </c>
    </row>
    <row r="106" spans="1:17" ht="15.75">
      <c r="A106" s="83" t="s">
        <v>270</v>
      </c>
      <c r="B106" s="3">
        <v>144</v>
      </c>
      <c r="C106" s="7">
        <v>117.829</v>
      </c>
      <c r="D106" s="53">
        <v>124.067</v>
      </c>
      <c r="E106" s="7">
        <v>95.238</v>
      </c>
      <c r="F106" s="7"/>
      <c r="G106" s="7">
        <v>123.93</v>
      </c>
      <c r="H106" s="7">
        <v>59.716</v>
      </c>
      <c r="I106" s="7"/>
      <c r="J106" s="7">
        <v>81.209</v>
      </c>
      <c r="K106" s="7">
        <v>81.535</v>
      </c>
      <c r="L106" s="7">
        <v>71.608</v>
      </c>
      <c r="M106" s="7">
        <v>82.991</v>
      </c>
      <c r="N106" s="7">
        <v>93.682</v>
      </c>
      <c r="O106" s="7">
        <v>151.703</v>
      </c>
      <c r="P106" s="7">
        <v>129.573</v>
      </c>
      <c r="Q106" s="7">
        <v>127.102</v>
      </c>
    </row>
    <row r="107" spans="1:17" ht="15.75">
      <c r="A107" s="83" t="s">
        <v>125</v>
      </c>
      <c r="B107" s="3">
        <v>156</v>
      </c>
      <c r="C107" s="7">
        <v>125.05</v>
      </c>
      <c r="D107" s="53">
        <v>131.67</v>
      </c>
      <c r="E107" s="7">
        <v>101.075</v>
      </c>
      <c r="F107" s="7"/>
      <c r="G107" s="7">
        <v>131.525</v>
      </c>
      <c r="H107" s="7">
        <v>63.375</v>
      </c>
      <c r="I107" s="7"/>
      <c r="J107" s="7">
        <v>86.185</v>
      </c>
      <c r="K107" s="7">
        <v>86.531</v>
      </c>
      <c r="L107" s="7">
        <v>75.996</v>
      </c>
      <c r="M107" s="7">
        <v>88.077</v>
      </c>
      <c r="N107" s="7">
        <v>99.423</v>
      </c>
      <c r="O107" s="7">
        <v>160.999</v>
      </c>
      <c r="P107" s="7">
        <v>137.514</v>
      </c>
      <c r="Q107" s="7">
        <v>134.891</v>
      </c>
    </row>
    <row r="108" spans="1:17" ht="15.75">
      <c r="A108" s="83" t="s">
        <v>271</v>
      </c>
      <c r="B108" s="3">
        <v>195</v>
      </c>
      <c r="C108" s="7">
        <v>136.204</v>
      </c>
      <c r="D108" s="53">
        <v>143.414</v>
      </c>
      <c r="E108" s="7">
        <v>110.09</v>
      </c>
      <c r="F108" s="7"/>
      <c r="G108" s="7">
        <v>143.256</v>
      </c>
      <c r="H108" s="7">
        <v>69.027</v>
      </c>
      <c r="I108" s="7"/>
      <c r="J108" s="7">
        <v>93.872</v>
      </c>
      <c r="K108" s="7">
        <v>94.249</v>
      </c>
      <c r="L108" s="7">
        <v>82.774</v>
      </c>
      <c r="M108" s="7">
        <v>95.933</v>
      </c>
      <c r="N108" s="7">
        <v>108.291</v>
      </c>
      <c r="O108" s="7">
        <v>175.359</v>
      </c>
      <c r="P108" s="7">
        <v>149.778</v>
      </c>
      <c r="Q108" s="7">
        <v>146.922</v>
      </c>
    </row>
    <row r="109" spans="1:17" ht="15.75">
      <c r="A109" s="83" t="s">
        <v>126</v>
      </c>
      <c r="B109" s="3">
        <v>217</v>
      </c>
      <c r="C109" s="7">
        <v>129.823</v>
      </c>
      <c r="D109" s="53">
        <v>136.696</v>
      </c>
      <c r="E109" s="7">
        <v>104.932</v>
      </c>
      <c r="F109" s="7"/>
      <c r="G109" s="7">
        <v>136.545</v>
      </c>
      <c r="H109" s="7">
        <v>65.794</v>
      </c>
      <c r="I109" s="7"/>
      <c r="J109" s="7">
        <v>89.475</v>
      </c>
      <c r="K109" s="7">
        <v>89.834</v>
      </c>
      <c r="L109" s="7">
        <v>78.896</v>
      </c>
      <c r="M109" s="7">
        <v>91.439</v>
      </c>
      <c r="N109" s="7">
        <v>103.218</v>
      </c>
      <c r="O109" s="7">
        <v>167.144</v>
      </c>
      <c r="P109" s="7">
        <v>142.762</v>
      </c>
      <c r="Q109" s="7">
        <v>140.039</v>
      </c>
    </row>
    <row r="110" spans="1:17" ht="15.75">
      <c r="A110" s="83" t="s">
        <v>272</v>
      </c>
      <c r="B110" s="3">
        <v>14</v>
      </c>
      <c r="C110" s="7">
        <v>135.745</v>
      </c>
      <c r="D110" s="53">
        <v>142.932</v>
      </c>
      <c r="E110" s="7">
        <v>109.719</v>
      </c>
      <c r="F110" s="7"/>
      <c r="G110" s="7">
        <v>142.774</v>
      </c>
      <c r="H110" s="7">
        <v>68.795</v>
      </c>
      <c r="I110" s="7"/>
      <c r="J110" s="7">
        <v>96.556</v>
      </c>
      <c r="K110" s="7">
        <v>93.932</v>
      </c>
      <c r="L110" s="7">
        <v>82.495</v>
      </c>
      <c r="M110" s="7">
        <v>95.61</v>
      </c>
      <c r="N110" s="7">
        <v>107.927</v>
      </c>
      <c r="O110" s="7">
        <v>174.769</v>
      </c>
      <c r="P110" s="7">
        <v>149.274</v>
      </c>
      <c r="Q110" s="7">
        <v>146.427</v>
      </c>
    </row>
    <row r="111" spans="1:17" ht="15.75">
      <c r="A111" s="83" t="s">
        <v>273</v>
      </c>
      <c r="B111" s="3">
        <v>23</v>
      </c>
      <c r="C111" s="7">
        <v>135.745</v>
      </c>
      <c r="D111" s="53">
        <v>142.932</v>
      </c>
      <c r="E111" s="7">
        <v>109.719</v>
      </c>
      <c r="F111" s="7"/>
      <c r="G111" s="7">
        <v>142.774</v>
      </c>
      <c r="H111" s="7">
        <v>68.795</v>
      </c>
      <c r="I111" s="7"/>
      <c r="J111" s="7">
        <v>96.556</v>
      </c>
      <c r="K111" s="7">
        <v>93.932</v>
      </c>
      <c r="L111" s="7">
        <v>82.495</v>
      </c>
      <c r="M111" s="7">
        <v>95.61</v>
      </c>
      <c r="N111" s="7">
        <v>107.927</v>
      </c>
      <c r="O111" s="7">
        <v>174.769</v>
      </c>
      <c r="P111" s="7">
        <v>149.274</v>
      </c>
      <c r="Q111" s="7">
        <v>146.427</v>
      </c>
    </row>
    <row r="112" spans="1:17" ht="15.75">
      <c r="A112" s="83" t="s">
        <v>274</v>
      </c>
      <c r="B112" s="3">
        <v>38</v>
      </c>
      <c r="C112" s="7">
        <v>151.281</v>
      </c>
      <c r="D112" s="53">
        <v>159.29</v>
      </c>
      <c r="E112" s="7">
        <v>122.277</v>
      </c>
      <c r="F112" s="7"/>
      <c r="G112" s="7">
        <v>159.114</v>
      </c>
      <c r="H112" s="7">
        <v>76.669</v>
      </c>
      <c r="I112" s="7"/>
      <c r="J112" s="7">
        <v>104.264</v>
      </c>
      <c r="K112" s="7">
        <v>104.682</v>
      </c>
      <c r="L112" s="7">
        <v>91.937</v>
      </c>
      <c r="M112" s="7">
        <v>106.553</v>
      </c>
      <c r="N112" s="7">
        <v>120.279</v>
      </c>
      <c r="O112" s="7">
        <v>194.772</v>
      </c>
      <c r="P112" s="7">
        <v>166.359</v>
      </c>
      <c r="Q112" s="7">
        <v>163.186</v>
      </c>
    </row>
    <row r="113" spans="1:17" ht="15.75">
      <c r="A113" s="83" t="s">
        <v>103</v>
      </c>
      <c r="B113" s="3">
        <v>80</v>
      </c>
      <c r="C113" s="7">
        <v>158.211</v>
      </c>
      <c r="D113" s="53">
        <v>166.587</v>
      </c>
      <c r="E113" s="7">
        <v>127.877</v>
      </c>
      <c r="F113" s="7"/>
      <c r="G113" s="7">
        <v>166.403</v>
      </c>
      <c r="H113" s="7">
        <v>80.181</v>
      </c>
      <c r="I113" s="7"/>
      <c r="J113" s="7">
        <v>109.04</v>
      </c>
      <c r="K113" s="7">
        <v>109.477</v>
      </c>
      <c r="L113" s="7">
        <v>96.148</v>
      </c>
      <c r="M113" s="7">
        <v>111.434</v>
      </c>
      <c r="N113" s="7">
        <v>125.788</v>
      </c>
      <c r="O113" s="7">
        <v>203.693</v>
      </c>
      <c r="P113" s="7">
        <v>173.979</v>
      </c>
      <c r="Q113" s="7">
        <v>170.661</v>
      </c>
    </row>
    <row r="114" spans="1:17" ht="15.75">
      <c r="A114" s="83" t="s">
        <v>104</v>
      </c>
      <c r="B114" s="3">
        <v>105</v>
      </c>
      <c r="C114" s="7">
        <v>168.46</v>
      </c>
      <c r="D114" s="53">
        <v>177.378</v>
      </c>
      <c r="E114" s="7">
        <v>136.161</v>
      </c>
      <c r="F114" s="7"/>
      <c r="G114" s="7">
        <v>177.182</v>
      </c>
      <c r="H114" s="7">
        <v>85.375</v>
      </c>
      <c r="I114" s="7"/>
      <c r="J114" s="7">
        <v>116.103</v>
      </c>
      <c r="K114" s="7">
        <v>116.569</v>
      </c>
      <c r="L114" s="7">
        <v>102.377</v>
      </c>
      <c r="M114" s="7">
        <v>118.652</v>
      </c>
      <c r="N114" s="7">
        <v>133.937</v>
      </c>
      <c r="O114" s="7">
        <v>216.888</v>
      </c>
      <c r="P114" s="7">
        <v>185.25</v>
      </c>
      <c r="Q114" s="7">
        <v>181.716</v>
      </c>
    </row>
    <row r="115" spans="1:17" ht="15.75">
      <c r="A115" s="83" t="s">
        <v>105</v>
      </c>
      <c r="B115" s="3">
        <v>154</v>
      </c>
      <c r="C115" s="7">
        <v>176.571</v>
      </c>
      <c r="D115" s="53">
        <v>185.918</v>
      </c>
      <c r="E115" s="7">
        <v>142.717</v>
      </c>
      <c r="F115" s="7"/>
      <c r="G115" s="7">
        <v>185.713</v>
      </c>
      <c r="H115" s="7">
        <v>89.486</v>
      </c>
      <c r="I115" s="7"/>
      <c r="J115" s="7">
        <v>121.693</v>
      </c>
      <c r="K115" s="7">
        <v>122.182</v>
      </c>
      <c r="L115" s="7">
        <v>107.306</v>
      </c>
      <c r="M115" s="7">
        <v>124.365</v>
      </c>
      <c r="N115" s="7">
        <v>140.386</v>
      </c>
      <c r="O115" s="7">
        <v>227.331</v>
      </c>
      <c r="P115" s="7">
        <v>194.169</v>
      </c>
      <c r="Q115" s="7">
        <v>190.465</v>
      </c>
    </row>
    <row r="116" spans="1:17" ht="15.75">
      <c r="A116" s="83" t="s">
        <v>106</v>
      </c>
      <c r="B116" s="3">
        <v>179</v>
      </c>
      <c r="C116" s="7">
        <v>198.324</v>
      </c>
      <c r="D116" s="53">
        <v>208.823</v>
      </c>
      <c r="E116" s="7">
        <v>160.3</v>
      </c>
      <c r="F116" s="7"/>
      <c r="G116" s="7">
        <v>208.593</v>
      </c>
      <c r="H116" s="7">
        <v>100.51</v>
      </c>
      <c r="I116" s="7"/>
      <c r="J116" s="7">
        <v>136.686</v>
      </c>
      <c r="K116" s="7">
        <v>137.234</v>
      </c>
      <c r="L116" s="7">
        <v>120.526</v>
      </c>
      <c r="M116" s="7">
        <v>139.687</v>
      </c>
      <c r="N116" s="7">
        <v>157.681</v>
      </c>
      <c r="O116" s="7">
        <v>255.338</v>
      </c>
      <c r="P116" s="7">
        <v>218.091</v>
      </c>
      <c r="Q116" s="7">
        <v>213.93</v>
      </c>
    </row>
    <row r="117" spans="1:17" ht="15.75">
      <c r="A117" s="84" t="s">
        <v>30</v>
      </c>
      <c r="B117" s="14">
        <v>209</v>
      </c>
      <c r="C117" s="7">
        <v>209.365</v>
      </c>
      <c r="D117" s="53">
        <v>220.449</v>
      </c>
      <c r="E117" s="7">
        <v>169.223</v>
      </c>
      <c r="F117" s="7"/>
      <c r="G117" s="7">
        <v>220.205</v>
      </c>
      <c r="H117" s="7">
        <v>106.106</v>
      </c>
      <c r="I117" s="7"/>
      <c r="J117" s="7">
        <v>144.295</v>
      </c>
      <c r="K117" s="7">
        <v>144.874</v>
      </c>
      <c r="L117" s="7">
        <v>127.236</v>
      </c>
      <c r="M117" s="7">
        <v>147.463</v>
      </c>
      <c r="N117" s="7">
        <v>166.459</v>
      </c>
      <c r="O117" s="7">
        <v>269.552</v>
      </c>
      <c r="P117" s="7">
        <v>230.232</v>
      </c>
      <c r="Q117" s="7">
        <v>225.84</v>
      </c>
    </row>
    <row r="118" spans="1:17" ht="15.75">
      <c r="A118" s="84" t="s">
        <v>32</v>
      </c>
      <c r="B118" s="14">
        <v>250</v>
      </c>
      <c r="C118" s="7">
        <v>197.919</v>
      </c>
      <c r="D118" s="53">
        <v>208.397</v>
      </c>
      <c r="E118" s="7">
        <v>159.972</v>
      </c>
      <c r="F118" s="7"/>
      <c r="G118" s="7">
        <v>208.166</v>
      </c>
      <c r="H118" s="7">
        <v>100.305</v>
      </c>
      <c r="I118" s="7"/>
      <c r="J118" s="7">
        <v>136.406</v>
      </c>
      <c r="K118" s="7">
        <v>136.954</v>
      </c>
      <c r="L118" s="7">
        <v>120.28</v>
      </c>
      <c r="M118" s="7">
        <v>139.401</v>
      </c>
      <c r="N118" s="7">
        <v>157.359</v>
      </c>
      <c r="O118" s="7">
        <v>254.816</v>
      </c>
      <c r="P118" s="7">
        <v>217.645</v>
      </c>
      <c r="Q118" s="7">
        <v>213.493</v>
      </c>
    </row>
    <row r="119" spans="1:17" ht="15.75">
      <c r="A119" s="84" t="s">
        <v>33</v>
      </c>
      <c r="B119" s="14">
        <v>24</v>
      </c>
      <c r="C119" s="7">
        <v>207.82</v>
      </c>
      <c r="D119" s="53">
        <v>218.822</v>
      </c>
      <c r="E119" s="7">
        <v>167.975</v>
      </c>
      <c r="F119" s="7"/>
      <c r="G119" s="7">
        <v>218.58</v>
      </c>
      <c r="H119" s="7">
        <v>105.323</v>
      </c>
      <c r="I119" s="7"/>
      <c r="J119" s="7">
        <v>143.23</v>
      </c>
      <c r="K119" s="7">
        <v>143.805</v>
      </c>
      <c r="L119" s="7">
        <v>126.297</v>
      </c>
      <c r="M119" s="7">
        <v>146.375</v>
      </c>
      <c r="N119" s="7">
        <v>165.231</v>
      </c>
      <c r="O119" s="7">
        <v>267.563</v>
      </c>
      <c r="P119" s="7">
        <v>228.533</v>
      </c>
      <c r="Q119" s="7">
        <v>224.173</v>
      </c>
    </row>
    <row r="120" spans="1:17" ht="15.75">
      <c r="A120" s="84" t="s">
        <v>107</v>
      </c>
      <c r="B120" s="14">
        <v>58</v>
      </c>
      <c r="C120" s="7">
        <v>218.129</v>
      </c>
      <c r="D120" s="53">
        <v>229.677</v>
      </c>
      <c r="E120" s="7">
        <v>176.307</v>
      </c>
      <c r="F120" s="7"/>
      <c r="G120" s="7">
        <v>229.423</v>
      </c>
      <c r="H120" s="7">
        <v>110.547</v>
      </c>
      <c r="I120" s="7"/>
      <c r="J120" s="7">
        <v>150.335</v>
      </c>
      <c r="K120" s="7">
        <v>150.939</v>
      </c>
      <c r="L120" s="7">
        <v>132.562</v>
      </c>
      <c r="M120" s="7">
        <v>153.636</v>
      </c>
      <c r="N120" s="7">
        <v>174.427</v>
      </c>
      <c r="O120" s="7">
        <v>280.836</v>
      </c>
      <c r="P120" s="7">
        <v>239.87</v>
      </c>
      <c r="Q120" s="7">
        <v>235.294</v>
      </c>
    </row>
    <row r="121" spans="1:17" ht="15.75">
      <c r="A121" s="84" t="s">
        <v>108</v>
      </c>
      <c r="B121" s="14">
        <v>82</v>
      </c>
      <c r="C121" s="7">
        <v>256.082</v>
      </c>
      <c r="D121" s="53">
        <v>269.638</v>
      </c>
      <c r="E121" s="7">
        <v>206.983</v>
      </c>
      <c r="F121" s="7"/>
      <c r="G121" s="7">
        <v>269.34</v>
      </c>
      <c r="H121" s="7">
        <v>129.781</v>
      </c>
      <c r="I121" s="7"/>
      <c r="J121" s="7">
        <v>176.492</v>
      </c>
      <c r="K121" s="7">
        <v>177.2</v>
      </c>
      <c r="L121" s="7">
        <v>155.627</v>
      </c>
      <c r="M121" s="7">
        <v>180.367</v>
      </c>
      <c r="N121" s="7">
        <v>203.602</v>
      </c>
      <c r="O121" s="7">
        <v>329.669</v>
      </c>
      <c r="P121" s="7">
        <v>281.605</v>
      </c>
      <c r="Q121" s="7">
        <v>276.233</v>
      </c>
    </row>
    <row r="122" spans="1:17" ht="15.75">
      <c r="A122" s="84" t="s">
        <v>34</v>
      </c>
      <c r="B122" s="14">
        <v>88</v>
      </c>
      <c r="C122" s="7">
        <v>256.082</v>
      </c>
      <c r="D122" s="53">
        <v>269.638</v>
      </c>
      <c r="E122" s="7">
        <v>206.983</v>
      </c>
      <c r="F122" s="7"/>
      <c r="G122" s="7">
        <v>269.34</v>
      </c>
      <c r="H122" s="7">
        <v>129.781</v>
      </c>
      <c r="I122" s="7"/>
      <c r="J122" s="7">
        <v>176.492</v>
      </c>
      <c r="K122" s="7">
        <v>177.2</v>
      </c>
      <c r="L122" s="7">
        <v>155.627</v>
      </c>
      <c r="M122" s="7">
        <v>180.367</v>
      </c>
      <c r="N122" s="7">
        <v>203.602</v>
      </c>
      <c r="O122" s="7">
        <v>329.669</v>
      </c>
      <c r="P122" s="7">
        <v>281.605</v>
      </c>
      <c r="Q122" s="7">
        <v>276.233</v>
      </c>
    </row>
    <row r="123" spans="1:17" ht="15.75">
      <c r="A123" s="84" t="s">
        <v>35</v>
      </c>
      <c r="B123" s="14">
        <v>96</v>
      </c>
      <c r="C123" s="7">
        <v>232.097</v>
      </c>
      <c r="D123" s="53">
        <v>244.384</v>
      </c>
      <c r="E123" s="7">
        <v>187.597</v>
      </c>
      <c r="F123" s="7"/>
      <c r="G123" s="7">
        <v>244.114</v>
      </c>
      <c r="H123" s="7">
        <v>117.626</v>
      </c>
      <c r="I123" s="7"/>
      <c r="J123" s="7">
        <v>159.962</v>
      </c>
      <c r="K123" s="7">
        <v>160.604</v>
      </c>
      <c r="L123" s="7">
        <v>160.604</v>
      </c>
      <c r="M123" s="7">
        <v>163.474</v>
      </c>
      <c r="N123" s="7">
        <v>184.533</v>
      </c>
      <c r="O123" s="7">
        <v>298.819</v>
      </c>
      <c r="P123" s="7">
        <v>255.23</v>
      </c>
      <c r="Q123" s="7">
        <v>250.361</v>
      </c>
    </row>
    <row r="124" spans="1:17" ht="15.75">
      <c r="A124" s="84" t="s">
        <v>36</v>
      </c>
      <c r="B124" s="14">
        <v>131</v>
      </c>
      <c r="C124" s="7">
        <v>232.097</v>
      </c>
      <c r="D124" s="53">
        <v>244.384</v>
      </c>
      <c r="E124" s="7">
        <v>187.597</v>
      </c>
      <c r="F124" s="7"/>
      <c r="G124" s="7">
        <v>244.114</v>
      </c>
      <c r="H124" s="7">
        <v>117.626</v>
      </c>
      <c r="I124" s="7"/>
      <c r="J124" s="7">
        <v>159.962</v>
      </c>
      <c r="K124" s="7">
        <v>160.604</v>
      </c>
      <c r="L124" s="7">
        <v>160.604</v>
      </c>
      <c r="M124" s="7">
        <v>163.474</v>
      </c>
      <c r="N124" s="7">
        <v>184.533</v>
      </c>
      <c r="O124" s="7">
        <v>298.819</v>
      </c>
      <c r="P124" s="7">
        <v>255.23</v>
      </c>
      <c r="Q124" s="7">
        <v>250.361</v>
      </c>
    </row>
    <row r="125" spans="1:17" ht="15.75">
      <c r="A125" s="84" t="s">
        <v>37</v>
      </c>
      <c r="B125" s="14">
        <v>133</v>
      </c>
      <c r="C125" s="7">
        <v>227.409</v>
      </c>
      <c r="D125" s="53">
        <v>239.447</v>
      </c>
      <c r="E125" s="7">
        <v>183.808</v>
      </c>
      <c r="F125" s="7"/>
      <c r="G125" s="7">
        <v>244.114</v>
      </c>
      <c r="H125" s="7">
        <v>117.626</v>
      </c>
      <c r="I125" s="7"/>
      <c r="J125" s="7">
        <v>159.962</v>
      </c>
      <c r="K125" s="7">
        <v>160.604</v>
      </c>
      <c r="L125" s="7">
        <v>141.051</v>
      </c>
      <c r="M125" s="7">
        <v>160.172</v>
      </c>
      <c r="N125" s="7">
        <v>184.533</v>
      </c>
      <c r="O125" s="7">
        <v>298.819</v>
      </c>
      <c r="P125" s="7">
        <v>255.23</v>
      </c>
      <c r="Q125" s="7">
        <v>250.361</v>
      </c>
    </row>
    <row r="126" spans="1:17" ht="15.75">
      <c r="A126" s="83" t="s">
        <v>38</v>
      </c>
      <c r="B126" s="3">
        <v>158</v>
      </c>
      <c r="C126" s="7">
        <v>253.338</v>
      </c>
      <c r="D126" s="53">
        <v>275.442</v>
      </c>
      <c r="E126" s="7">
        <v>196.687</v>
      </c>
      <c r="F126" s="7"/>
      <c r="G126" s="7">
        <v>244.114</v>
      </c>
      <c r="H126" s="7">
        <v>117.626</v>
      </c>
      <c r="I126" s="7"/>
      <c r="J126" s="7">
        <v>168.858</v>
      </c>
      <c r="K126" s="7">
        <v>172.911</v>
      </c>
      <c r="L126" s="7">
        <v>151.762</v>
      </c>
      <c r="M126" s="7">
        <v>169.341</v>
      </c>
      <c r="N126" s="7">
        <v>184.533</v>
      </c>
      <c r="O126" s="7">
        <v>330.4541</v>
      </c>
      <c r="P126" s="7">
        <v>255.23</v>
      </c>
      <c r="Q126" s="7">
        <v>265.743</v>
      </c>
    </row>
    <row r="127" spans="1:17" ht="15.75">
      <c r="A127" s="83" t="s">
        <v>38</v>
      </c>
      <c r="B127" s="3">
        <v>158</v>
      </c>
      <c r="C127" s="7">
        <v>253.338</v>
      </c>
      <c r="D127" s="53">
        <v>275.442</v>
      </c>
      <c r="E127" s="7">
        <v>196.687</v>
      </c>
      <c r="F127" s="7"/>
      <c r="G127" s="7">
        <v>244.114</v>
      </c>
      <c r="H127" s="7">
        <v>117.626</v>
      </c>
      <c r="I127" s="7"/>
      <c r="J127" s="7">
        <v>168.858</v>
      </c>
      <c r="K127" s="7">
        <v>172.911</v>
      </c>
      <c r="L127" s="7">
        <v>151.762</v>
      </c>
      <c r="M127" s="7">
        <v>169.341</v>
      </c>
      <c r="N127" s="7">
        <v>184.533</v>
      </c>
      <c r="O127" s="7">
        <v>330.4541</v>
      </c>
      <c r="P127" s="7">
        <v>255.23</v>
      </c>
      <c r="Q127" s="7">
        <v>265.743</v>
      </c>
    </row>
    <row r="128" spans="1:17" ht="15.75">
      <c r="A128" s="83" t="s">
        <v>39</v>
      </c>
      <c r="B128" s="3">
        <v>171</v>
      </c>
      <c r="C128" s="7">
        <v>253.338</v>
      </c>
      <c r="D128" s="53">
        <v>275.442</v>
      </c>
      <c r="E128" s="7">
        <v>196.687</v>
      </c>
      <c r="F128" s="7"/>
      <c r="G128" s="7">
        <v>255.852</v>
      </c>
      <c r="H128" s="7">
        <v>123.282</v>
      </c>
      <c r="I128" s="7"/>
      <c r="J128" s="7">
        <v>168.858</v>
      </c>
      <c r="K128" s="7">
        <v>172.911</v>
      </c>
      <c r="L128" s="7">
        <v>151.762</v>
      </c>
      <c r="M128" s="7">
        <v>169.341</v>
      </c>
      <c r="N128" s="7">
        <v>193.209</v>
      </c>
      <c r="O128" s="7">
        <v>330.4541</v>
      </c>
      <c r="P128" s="7">
        <v>255.23</v>
      </c>
      <c r="Q128" s="7">
        <v>265.743</v>
      </c>
    </row>
    <row r="129" spans="1:17" ht="15.75">
      <c r="A129" s="83" t="s">
        <v>40</v>
      </c>
      <c r="B129" s="3">
        <v>182</v>
      </c>
      <c r="C129" s="7">
        <v>292.935</v>
      </c>
      <c r="D129" s="53">
        <v>320.498</v>
      </c>
      <c r="E129" s="7">
        <v>217.575</v>
      </c>
      <c r="F129" s="7"/>
      <c r="G129" s="7">
        <v>323.159</v>
      </c>
      <c r="H129" s="7">
        <v>135.468</v>
      </c>
      <c r="I129" s="7"/>
      <c r="J129" s="7">
        <v>182.955</v>
      </c>
      <c r="K129" s="7">
        <v>180.708</v>
      </c>
      <c r="L129" s="7">
        <v>158.544</v>
      </c>
      <c r="M129" s="7">
        <v>183.454</v>
      </c>
      <c r="N129" s="7">
        <v>242.909</v>
      </c>
      <c r="O129" s="7">
        <v>364.101</v>
      </c>
      <c r="P129" s="7">
        <v>255.23</v>
      </c>
      <c r="Q129" s="7">
        <v>316.821</v>
      </c>
    </row>
    <row r="130" spans="1:17" ht="15.75">
      <c r="A130" s="83" t="s">
        <v>109</v>
      </c>
      <c r="B130" s="3">
        <v>208</v>
      </c>
      <c r="C130" s="7">
        <v>310.79</v>
      </c>
      <c r="D130" s="53">
        <v>345.984</v>
      </c>
      <c r="E130" s="7">
        <v>237.329</v>
      </c>
      <c r="F130" s="7"/>
      <c r="G130" s="7">
        <v>353.836</v>
      </c>
      <c r="H130" s="7">
        <v>143.293</v>
      </c>
      <c r="I130" s="7"/>
      <c r="J130" s="7">
        <v>206.409</v>
      </c>
      <c r="K130" s="7">
        <v>180.708</v>
      </c>
      <c r="L130" s="7">
        <v>143.454</v>
      </c>
      <c r="M130" s="7">
        <v>215.818</v>
      </c>
      <c r="N130" s="7">
        <v>273.444</v>
      </c>
      <c r="O130" s="7">
        <v>416.466</v>
      </c>
      <c r="P130" s="7">
        <v>255.23</v>
      </c>
      <c r="Q130" s="7">
        <v>355.773</v>
      </c>
    </row>
    <row r="131" spans="1:17" ht="15.75">
      <c r="A131" s="83" t="s">
        <v>42</v>
      </c>
      <c r="B131" s="3">
        <v>215</v>
      </c>
      <c r="C131" s="7">
        <v>283.564</v>
      </c>
      <c r="D131" s="53">
        <v>299.728</v>
      </c>
      <c r="E131" s="7">
        <v>237.329</v>
      </c>
      <c r="F131" s="7"/>
      <c r="G131" s="7">
        <v>326.782</v>
      </c>
      <c r="H131" s="7">
        <v>143.293</v>
      </c>
      <c r="I131" s="7"/>
      <c r="J131" s="7">
        <v>206.409</v>
      </c>
      <c r="K131" s="7">
        <v>180.708</v>
      </c>
      <c r="L131" s="7">
        <v>143.454</v>
      </c>
      <c r="M131" s="7">
        <v>215.818</v>
      </c>
      <c r="N131" s="7">
        <v>245.63</v>
      </c>
      <c r="O131" s="7">
        <v>338.59</v>
      </c>
      <c r="P131" s="7">
        <v>255.23</v>
      </c>
      <c r="Q131" s="7">
        <v>290.282</v>
      </c>
    </row>
    <row r="132" spans="1:17" ht="15.75">
      <c r="A132" s="83" t="s">
        <v>110</v>
      </c>
      <c r="B132" s="3">
        <v>216</v>
      </c>
      <c r="C132" s="7">
        <v>283.564</v>
      </c>
      <c r="D132" s="53">
        <v>299.728</v>
      </c>
      <c r="E132" s="7">
        <v>237.329</v>
      </c>
      <c r="F132" s="7"/>
      <c r="G132" s="7">
        <v>326.782</v>
      </c>
      <c r="H132" s="7">
        <v>143.293</v>
      </c>
      <c r="I132" s="7"/>
      <c r="J132" s="7">
        <v>206.409</v>
      </c>
      <c r="K132" s="7">
        <v>186.546</v>
      </c>
      <c r="L132" s="7">
        <v>143.454</v>
      </c>
      <c r="M132" s="7">
        <v>215.818</v>
      </c>
      <c r="N132" s="7">
        <v>245.63</v>
      </c>
      <c r="O132" s="7">
        <v>338.59</v>
      </c>
      <c r="P132" s="7">
        <v>255.23</v>
      </c>
      <c r="Q132" s="7">
        <v>290.282</v>
      </c>
    </row>
    <row r="133" spans="1:17" ht="15.75">
      <c r="A133" s="83" t="s">
        <v>43</v>
      </c>
      <c r="B133" s="3">
        <v>221</v>
      </c>
      <c r="C133" s="7">
        <v>283.564</v>
      </c>
      <c r="D133" s="53">
        <v>299.728</v>
      </c>
      <c r="E133" s="7">
        <v>237.329</v>
      </c>
      <c r="F133" s="7"/>
      <c r="G133" s="7">
        <v>326.782</v>
      </c>
      <c r="H133" s="7">
        <v>143.293</v>
      </c>
      <c r="I133" s="7"/>
      <c r="J133" s="7">
        <v>206.409</v>
      </c>
      <c r="K133" s="7">
        <v>186.546</v>
      </c>
      <c r="L133" s="7">
        <v>143.454</v>
      </c>
      <c r="M133" s="7">
        <v>215.818</v>
      </c>
      <c r="N133" s="7">
        <v>245.63</v>
      </c>
      <c r="O133" s="7">
        <v>338.59</v>
      </c>
      <c r="P133" s="7">
        <v>255.23</v>
      </c>
      <c r="Q133" s="7">
        <v>290.282</v>
      </c>
    </row>
    <row r="134" spans="1:17" ht="15.75">
      <c r="A134" s="83" t="s">
        <v>44</v>
      </c>
      <c r="B134" s="3">
        <v>230</v>
      </c>
      <c r="C134" s="7">
        <v>264.056</v>
      </c>
      <c r="D134" s="53">
        <v>279.393</v>
      </c>
      <c r="E134" s="7">
        <v>221.79</v>
      </c>
      <c r="F134" s="7"/>
      <c r="G134" s="7">
        <v>300.08</v>
      </c>
      <c r="H134" s="7">
        <v>136.106</v>
      </c>
      <c r="I134" s="7"/>
      <c r="J134" s="7">
        <v>197.365</v>
      </c>
      <c r="K134" s="7">
        <v>179.631</v>
      </c>
      <c r="L134" s="7">
        <v>179.631</v>
      </c>
      <c r="M134" s="7">
        <v>205.925</v>
      </c>
      <c r="N134" s="7">
        <v>218.696</v>
      </c>
      <c r="O134" s="7">
        <v>316.735</v>
      </c>
      <c r="P134" s="7">
        <v>255.23</v>
      </c>
      <c r="Q134" s="7">
        <v>277.635</v>
      </c>
    </row>
    <row r="135" spans="1:17" ht="15.75">
      <c r="A135" s="83" t="s">
        <v>111</v>
      </c>
      <c r="B135" s="3">
        <v>246</v>
      </c>
      <c r="C135" s="7">
        <v>246.498</v>
      </c>
      <c r="D135" s="53">
        <v>260.732</v>
      </c>
      <c r="E135" s="7">
        <v>200.761</v>
      </c>
      <c r="F135" s="7"/>
      <c r="G135" s="7">
        <v>271.564</v>
      </c>
      <c r="H135" s="7">
        <v>125.568</v>
      </c>
      <c r="I135" s="7"/>
      <c r="J135" s="7">
        <v>185.232</v>
      </c>
      <c r="K135" s="7">
        <v>179.631</v>
      </c>
      <c r="L135" s="7">
        <v>138.861</v>
      </c>
      <c r="M135" s="7">
        <v>206.925</v>
      </c>
      <c r="N135" s="7">
        <v>191.64</v>
      </c>
      <c r="O135" s="7">
        <v>297.266</v>
      </c>
      <c r="P135" s="7">
        <v>255.23</v>
      </c>
      <c r="Q135" s="7">
        <v>260.607</v>
      </c>
    </row>
    <row r="136" spans="1:17" ht="15.75">
      <c r="A136" s="83" t="s">
        <v>46</v>
      </c>
      <c r="B136" s="14">
        <v>19</v>
      </c>
      <c r="C136" s="7">
        <v>276.4</v>
      </c>
      <c r="D136" s="53">
        <v>291.999</v>
      </c>
      <c r="E136" s="7">
        <v>213.17</v>
      </c>
      <c r="F136" s="7"/>
      <c r="G136" s="7">
        <v>289.611</v>
      </c>
      <c r="H136" s="7">
        <v>137.797</v>
      </c>
      <c r="I136" s="7"/>
      <c r="J136" s="7">
        <v>197.329</v>
      </c>
      <c r="K136" s="7">
        <v>172.735</v>
      </c>
      <c r="L136" s="7">
        <v>138.861</v>
      </c>
      <c r="M136" s="7">
        <v>215.717</v>
      </c>
      <c r="N136" s="7">
        <v>206.535</v>
      </c>
      <c r="O136" s="7">
        <v>343.727</v>
      </c>
      <c r="P136" s="7">
        <v>255.23</v>
      </c>
      <c r="Q136" s="7">
        <v>291.795</v>
      </c>
    </row>
    <row r="137" spans="1:17" ht="15.75">
      <c r="A137" s="83" t="s">
        <v>47</v>
      </c>
      <c r="B137" s="14">
        <v>34</v>
      </c>
      <c r="C137" s="7">
        <v>302.779</v>
      </c>
      <c r="D137" s="53">
        <v>318.958</v>
      </c>
      <c r="E137" s="7">
        <v>226.442</v>
      </c>
      <c r="F137" s="7"/>
      <c r="G137" s="7">
        <v>305.68</v>
      </c>
      <c r="H137" s="7">
        <v>161.549</v>
      </c>
      <c r="I137" s="7"/>
      <c r="J137" s="7">
        <v>210.566</v>
      </c>
      <c r="K137" s="7">
        <v>180.945</v>
      </c>
      <c r="L137" s="7">
        <v>138.861</v>
      </c>
      <c r="M137" s="7">
        <v>206.356</v>
      </c>
      <c r="N137" s="7">
        <v>220.482</v>
      </c>
      <c r="O137" s="7">
        <v>379.714</v>
      </c>
      <c r="P137" s="7">
        <v>255.23</v>
      </c>
      <c r="Q137" s="7">
        <v>317.428</v>
      </c>
    </row>
    <row r="138" spans="1:17" ht="15.75">
      <c r="A138" s="83" t="s">
        <v>112</v>
      </c>
      <c r="B138" s="14">
        <v>44</v>
      </c>
      <c r="C138" s="7">
        <v>276.451</v>
      </c>
      <c r="D138" s="53">
        <v>293.324</v>
      </c>
      <c r="E138" s="7">
        <v>205.364</v>
      </c>
      <c r="F138" s="7"/>
      <c r="G138" s="7">
        <v>305.68</v>
      </c>
      <c r="H138" s="7">
        <v>161.549</v>
      </c>
      <c r="I138" s="7"/>
      <c r="J138" s="7">
        <v>201.792</v>
      </c>
      <c r="K138" s="7">
        <v>213.157</v>
      </c>
      <c r="L138" s="7">
        <v>146.11</v>
      </c>
      <c r="M138" s="7">
        <v>198.509</v>
      </c>
      <c r="N138" s="7">
        <v>220.482</v>
      </c>
      <c r="O138" s="7">
        <v>353.039</v>
      </c>
      <c r="P138" s="7">
        <v>255.23</v>
      </c>
      <c r="Q138" s="7">
        <v>291.051</v>
      </c>
    </row>
    <row r="139" spans="1:17" ht="15.75">
      <c r="A139" s="83" t="s">
        <v>49</v>
      </c>
      <c r="B139" s="14">
        <v>62</v>
      </c>
      <c r="C139" s="7">
        <v>276.451</v>
      </c>
      <c r="D139" s="53">
        <v>293.324</v>
      </c>
      <c r="E139" s="7">
        <v>205.364</v>
      </c>
      <c r="F139" s="7"/>
      <c r="G139" s="7">
        <v>305.68</v>
      </c>
      <c r="H139" s="7">
        <v>161.549</v>
      </c>
      <c r="I139" s="7"/>
      <c r="J139" s="7">
        <v>201.792</v>
      </c>
      <c r="K139" s="7">
        <v>213.157</v>
      </c>
      <c r="L139" s="7">
        <v>146.11</v>
      </c>
      <c r="M139" s="7">
        <v>198.509</v>
      </c>
      <c r="N139" s="7">
        <v>220.482</v>
      </c>
      <c r="O139" s="7">
        <v>353.039</v>
      </c>
      <c r="P139" s="7">
        <v>255.23</v>
      </c>
      <c r="Q139" s="7">
        <v>291.051</v>
      </c>
    </row>
    <row r="140" spans="1:17" ht="15.75">
      <c r="A140" s="83" t="s">
        <v>113</v>
      </c>
      <c r="B140" s="14">
        <v>65</v>
      </c>
      <c r="C140" s="7">
        <v>289.695</v>
      </c>
      <c r="D140" s="53">
        <v>306.729</v>
      </c>
      <c r="E140" s="7">
        <v>218.298</v>
      </c>
      <c r="F140" s="7"/>
      <c r="G140" s="7">
        <v>305.68</v>
      </c>
      <c r="H140" s="7">
        <v>161.549</v>
      </c>
      <c r="I140" s="7"/>
      <c r="J140" s="7">
        <v>209.875</v>
      </c>
      <c r="K140" s="7">
        <v>202.701</v>
      </c>
      <c r="L140" s="7">
        <v>171.202</v>
      </c>
      <c r="M140" s="7">
        <v>190.806</v>
      </c>
      <c r="N140" s="7">
        <v>220.482</v>
      </c>
      <c r="O140" s="7">
        <v>370.306</v>
      </c>
      <c r="P140" s="7">
        <v>255.23</v>
      </c>
      <c r="Q140" s="7">
        <v>300.633</v>
      </c>
    </row>
    <row r="141" spans="1:17" ht="15.75">
      <c r="A141" s="83" t="s">
        <v>51</v>
      </c>
      <c r="B141" s="14">
        <v>91</v>
      </c>
      <c r="C141" s="7">
        <v>341.216</v>
      </c>
      <c r="D141" s="53">
        <v>357.49</v>
      </c>
      <c r="E141" s="7">
        <v>237.105</v>
      </c>
      <c r="F141" s="7"/>
      <c r="G141" s="7">
        <v>320.982</v>
      </c>
      <c r="H141" s="7">
        <v>171.395</v>
      </c>
      <c r="I141" s="7"/>
      <c r="J141" s="7">
        <v>218.102</v>
      </c>
      <c r="K141" s="7">
        <v>187.319</v>
      </c>
      <c r="L141" s="7">
        <v>145.428</v>
      </c>
      <c r="M141" s="7">
        <v>186.768</v>
      </c>
      <c r="N141" s="7">
        <v>248.79</v>
      </c>
      <c r="O141" s="7">
        <v>460.199</v>
      </c>
      <c r="P141" s="7">
        <v>255.23</v>
      </c>
      <c r="Q141" s="7">
        <v>347.276</v>
      </c>
    </row>
    <row r="142" spans="1:17" ht="15.75">
      <c r="A142" s="83" t="s">
        <v>114</v>
      </c>
      <c r="B142" s="14">
        <v>127</v>
      </c>
      <c r="C142" s="7">
        <v>368.505</v>
      </c>
      <c r="D142" s="53">
        <v>383.807</v>
      </c>
      <c r="E142" s="7">
        <v>271.045</v>
      </c>
      <c r="F142" s="7"/>
      <c r="G142" s="7">
        <v>353.773</v>
      </c>
      <c r="H142" s="7">
        <v>181.872</v>
      </c>
      <c r="I142" s="7"/>
      <c r="J142" s="7">
        <v>236.641</v>
      </c>
      <c r="K142" s="7">
        <v>272.192</v>
      </c>
      <c r="L142" s="7">
        <v>205.719</v>
      </c>
      <c r="M142" s="7">
        <v>200.392</v>
      </c>
      <c r="N142" s="7">
        <v>281.605</v>
      </c>
      <c r="O142" s="7">
        <v>493.196</v>
      </c>
      <c r="P142" s="7">
        <v>255.23</v>
      </c>
      <c r="Q142" s="7">
        <v>379.339</v>
      </c>
    </row>
    <row r="143" spans="1:17" ht="15.75">
      <c r="A143" s="83" t="s">
        <v>53</v>
      </c>
      <c r="B143" s="14">
        <v>136</v>
      </c>
      <c r="C143" s="7">
        <v>383.9</v>
      </c>
      <c r="D143" s="53">
        <v>402.74</v>
      </c>
      <c r="E143" s="7">
        <v>271.045</v>
      </c>
      <c r="F143" s="7"/>
      <c r="G143" s="7">
        <v>353.773</v>
      </c>
      <c r="H143" s="7">
        <v>163.957</v>
      </c>
      <c r="I143" s="7"/>
      <c r="J143" s="7">
        <v>221.432</v>
      </c>
      <c r="K143" s="7">
        <v>326.233</v>
      </c>
      <c r="L143" s="7">
        <v>249.706</v>
      </c>
      <c r="M143" s="7">
        <v>213.745</v>
      </c>
      <c r="N143" s="7">
        <v>281.605</v>
      </c>
      <c r="O143" s="7">
        <v>517.392</v>
      </c>
      <c r="P143" s="7">
        <v>255.23</v>
      </c>
      <c r="Q143" s="7">
        <v>379.339</v>
      </c>
    </row>
    <row r="144" spans="1:17" ht="15.75">
      <c r="A144" s="83" t="s">
        <v>54</v>
      </c>
      <c r="B144" s="14">
        <v>152</v>
      </c>
      <c r="C144" s="7">
        <v>403.197</v>
      </c>
      <c r="D144" s="53">
        <v>420.197</v>
      </c>
      <c r="E144" s="7">
        <v>271.045</v>
      </c>
      <c r="F144" s="7"/>
      <c r="G144" s="7">
        <v>353.773</v>
      </c>
      <c r="H144" s="7">
        <v>175.429</v>
      </c>
      <c r="I144" s="7"/>
      <c r="J144" s="7">
        <v>231.601</v>
      </c>
      <c r="K144" s="7">
        <v>326.233</v>
      </c>
      <c r="L144" s="7">
        <v>249.706</v>
      </c>
      <c r="M144" s="7">
        <v>223.732</v>
      </c>
      <c r="N144" s="7">
        <v>281.605</v>
      </c>
      <c r="O144" s="7">
        <v>543.079</v>
      </c>
      <c r="P144" s="7">
        <v>255.23</v>
      </c>
      <c r="Q144" s="7">
        <v>413.067</v>
      </c>
    </row>
    <row r="145" spans="1:17" ht="15.75">
      <c r="A145" s="83" t="s">
        <v>55</v>
      </c>
      <c r="B145" s="14">
        <v>165</v>
      </c>
      <c r="C145" s="7">
        <v>383.046</v>
      </c>
      <c r="D145" s="53">
        <v>403.476</v>
      </c>
      <c r="E145" s="7">
        <v>271.045</v>
      </c>
      <c r="F145" s="7"/>
      <c r="G145" s="7">
        <v>370.367</v>
      </c>
      <c r="H145" s="7">
        <v>185.063</v>
      </c>
      <c r="I145" s="7"/>
      <c r="J145" s="7">
        <v>242.601</v>
      </c>
      <c r="K145" s="7">
        <v>326.233</v>
      </c>
      <c r="L145" s="7">
        <v>249.706</v>
      </c>
      <c r="M145" s="7">
        <v>223.732</v>
      </c>
      <c r="N145" s="7">
        <v>298.175</v>
      </c>
      <c r="O145" s="7">
        <v>575.226</v>
      </c>
      <c r="P145" s="7">
        <v>255.23</v>
      </c>
      <c r="Q145" s="7">
        <v>392.699</v>
      </c>
    </row>
    <row r="146" spans="1:17" ht="15.75">
      <c r="A146" s="83" t="s">
        <v>56</v>
      </c>
      <c r="B146" s="14">
        <v>158</v>
      </c>
      <c r="C146" s="7">
        <v>403.197</v>
      </c>
      <c r="D146" s="53">
        <v>420.473</v>
      </c>
      <c r="E146" s="7">
        <v>271.045</v>
      </c>
      <c r="F146" s="7"/>
      <c r="G146" s="7">
        <v>370.367</v>
      </c>
      <c r="H146" s="7">
        <v>175.429</v>
      </c>
      <c r="I146" s="7"/>
      <c r="J146" s="7">
        <v>231.601</v>
      </c>
      <c r="K146" s="7">
        <v>326.233</v>
      </c>
      <c r="L146" s="7">
        <v>249.706</v>
      </c>
      <c r="M146" s="7">
        <v>223.732</v>
      </c>
      <c r="N146" s="7">
        <v>298.175</v>
      </c>
      <c r="O146" s="7">
        <v>543.079</v>
      </c>
      <c r="P146" s="7">
        <v>255.23</v>
      </c>
      <c r="Q146" s="7">
        <v>413.067</v>
      </c>
    </row>
    <row r="147" spans="1:17" ht="15.75">
      <c r="A147" s="84" t="s">
        <v>57</v>
      </c>
      <c r="B147" s="14">
        <v>171</v>
      </c>
      <c r="C147" s="7">
        <v>350.61</v>
      </c>
      <c r="D147" s="53">
        <v>371.427</v>
      </c>
      <c r="E147" s="7">
        <v>271.045</v>
      </c>
      <c r="F147" s="7"/>
      <c r="G147" s="7">
        <v>370.367</v>
      </c>
      <c r="H147" s="7">
        <v>185.063</v>
      </c>
      <c r="I147" s="7"/>
      <c r="J147" s="7">
        <v>242.601</v>
      </c>
      <c r="K147" s="7">
        <v>341.331</v>
      </c>
      <c r="L147" s="7">
        <v>249.706</v>
      </c>
      <c r="M147" s="7">
        <v>223.732</v>
      </c>
      <c r="N147" s="7">
        <v>298.175</v>
      </c>
      <c r="O147" s="7">
        <v>475.537</v>
      </c>
      <c r="P147" s="7">
        <v>255.23</v>
      </c>
      <c r="Q147" s="7">
        <v>354.915</v>
      </c>
    </row>
    <row r="148" spans="1:17" ht="15.75">
      <c r="A148" s="84" t="s">
        <v>115</v>
      </c>
      <c r="B148" s="14">
        <v>176</v>
      </c>
      <c r="C148" s="7">
        <v>331.068</v>
      </c>
      <c r="D148" s="53">
        <v>352.21</v>
      </c>
      <c r="E148" s="7">
        <v>271.045</v>
      </c>
      <c r="F148" s="7"/>
      <c r="G148" s="7">
        <v>352.018</v>
      </c>
      <c r="H148" s="7">
        <v>174.855</v>
      </c>
      <c r="I148" s="7"/>
      <c r="J148" s="7">
        <v>242.601</v>
      </c>
      <c r="K148" s="7">
        <v>341.331</v>
      </c>
      <c r="L148" s="7">
        <v>249.706</v>
      </c>
      <c r="M148" s="7">
        <v>223.732</v>
      </c>
      <c r="N148" s="7">
        <v>280.084</v>
      </c>
      <c r="O148" s="7">
        <v>454.163</v>
      </c>
      <c r="P148" s="7">
        <v>255.23</v>
      </c>
      <c r="Q148" s="7">
        <v>336.853</v>
      </c>
    </row>
    <row r="149" spans="1:17" ht="15.75">
      <c r="A149" s="84" t="s">
        <v>59</v>
      </c>
      <c r="B149" s="14">
        <v>181</v>
      </c>
      <c r="C149" s="7">
        <v>331.068</v>
      </c>
      <c r="D149" s="53">
        <v>352.21</v>
      </c>
      <c r="E149" s="7">
        <v>252.2</v>
      </c>
      <c r="F149" s="7"/>
      <c r="G149" s="7">
        <v>352.018</v>
      </c>
      <c r="H149" s="7">
        <v>174.855</v>
      </c>
      <c r="I149" s="7"/>
      <c r="J149" s="7">
        <v>230.412</v>
      </c>
      <c r="K149" s="7">
        <v>341.331</v>
      </c>
      <c r="L149" s="7">
        <v>249.706</v>
      </c>
      <c r="M149" s="7">
        <v>213.213</v>
      </c>
      <c r="N149" s="7">
        <v>280.084</v>
      </c>
      <c r="O149" s="7">
        <v>454.163</v>
      </c>
      <c r="P149" s="7">
        <v>255.23</v>
      </c>
      <c r="Q149" s="7">
        <v>336.853</v>
      </c>
    </row>
    <row r="150" spans="1:17" ht="15.75">
      <c r="A150" s="84" t="s">
        <v>116</v>
      </c>
      <c r="B150" s="14">
        <v>183</v>
      </c>
      <c r="C150" s="7">
        <v>315.068</v>
      </c>
      <c r="D150" s="53">
        <v>337.104</v>
      </c>
      <c r="E150" s="7">
        <v>252.2</v>
      </c>
      <c r="F150" s="7"/>
      <c r="G150" s="7">
        <v>334.145</v>
      </c>
      <c r="H150" s="7">
        <v>166.173</v>
      </c>
      <c r="I150" s="7"/>
      <c r="J150" s="7">
        <v>230.412</v>
      </c>
      <c r="K150" s="7">
        <v>341.331</v>
      </c>
      <c r="L150" s="7">
        <v>249.706</v>
      </c>
      <c r="M150" s="7">
        <v>213.213</v>
      </c>
      <c r="N150" s="7">
        <v>263.195</v>
      </c>
      <c r="O150" s="7">
        <v>454.163</v>
      </c>
      <c r="P150" s="7">
        <v>255.23</v>
      </c>
      <c r="Q150" s="7">
        <v>320.802</v>
      </c>
    </row>
    <row r="151" spans="1:17" ht="15.75">
      <c r="A151" s="84" t="s">
        <v>61</v>
      </c>
      <c r="B151" s="14">
        <v>189</v>
      </c>
      <c r="C151" s="7">
        <v>298.685</v>
      </c>
      <c r="D151" s="53">
        <v>322.426</v>
      </c>
      <c r="E151" s="7">
        <v>230.465</v>
      </c>
      <c r="F151" s="7"/>
      <c r="G151" s="7">
        <v>308.595</v>
      </c>
      <c r="H151" s="7">
        <v>150.667</v>
      </c>
      <c r="I151" s="7"/>
      <c r="J151" s="7">
        <v>206.506</v>
      </c>
      <c r="K151" s="7">
        <v>341.331</v>
      </c>
      <c r="L151" s="7">
        <v>249.706</v>
      </c>
      <c r="M151" s="7">
        <v>201.407</v>
      </c>
      <c r="N151" s="7">
        <v>239.423</v>
      </c>
      <c r="O151" s="7">
        <v>433.69</v>
      </c>
      <c r="P151" s="7">
        <v>255.23</v>
      </c>
      <c r="Q151" s="7">
        <v>303.367</v>
      </c>
    </row>
    <row r="152" spans="1:17" ht="15.75">
      <c r="A152" s="84" t="s">
        <v>62</v>
      </c>
      <c r="B152" s="14">
        <v>193</v>
      </c>
      <c r="C152" s="7">
        <v>298.685</v>
      </c>
      <c r="D152" s="53">
        <v>322.426</v>
      </c>
      <c r="E152" s="7">
        <v>230.465</v>
      </c>
      <c r="F152" s="7"/>
      <c r="G152" s="7">
        <v>308.595</v>
      </c>
      <c r="H152" s="7">
        <v>150.667</v>
      </c>
      <c r="I152" s="7"/>
      <c r="J152" s="7">
        <v>206.506</v>
      </c>
      <c r="K152" s="7">
        <v>326.842</v>
      </c>
      <c r="L152" s="7">
        <v>249.706</v>
      </c>
      <c r="M152" s="7">
        <v>201.407</v>
      </c>
      <c r="N152" s="7">
        <v>239.423</v>
      </c>
      <c r="O152" s="7">
        <v>433.69</v>
      </c>
      <c r="P152" s="7">
        <v>255.23</v>
      </c>
      <c r="Q152" s="7">
        <v>303.367</v>
      </c>
    </row>
    <row r="153" spans="1:17" ht="15.75">
      <c r="A153" s="84" t="s">
        <v>63</v>
      </c>
      <c r="B153" s="14">
        <v>205</v>
      </c>
      <c r="C153" s="7">
        <v>298.685</v>
      </c>
      <c r="D153" s="53">
        <v>322.426</v>
      </c>
      <c r="E153" s="7">
        <v>230.465</v>
      </c>
      <c r="F153" s="7"/>
      <c r="G153" s="7">
        <v>308.595</v>
      </c>
      <c r="H153" s="7">
        <v>150.667</v>
      </c>
      <c r="I153" s="7"/>
      <c r="J153" s="7">
        <v>206.506</v>
      </c>
      <c r="K153" s="7">
        <v>326.842</v>
      </c>
      <c r="L153" s="7">
        <v>231.467</v>
      </c>
      <c r="M153" s="7">
        <v>192.084</v>
      </c>
      <c r="N153" s="7">
        <v>239.423</v>
      </c>
      <c r="O153" s="7">
        <v>433.69</v>
      </c>
      <c r="P153" s="7">
        <v>255.23</v>
      </c>
      <c r="Q153" s="7">
        <v>303.367</v>
      </c>
    </row>
    <row r="154" spans="1:17" ht="15.75">
      <c r="A154" s="84" t="s">
        <v>64</v>
      </c>
      <c r="B154" s="14">
        <v>212</v>
      </c>
      <c r="C154" s="7">
        <v>298.685</v>
      </c>
      <c r="D154" s="53">
        <v>322.423</v>
      </c>
      <c r="E154" s="7">
        <v>230.465</v>
      </c>
      <c r="F154" s="7"/>
      <c r="G154" s="7">
        <v>308.595</v>
      </c>
      <c r="H154" s="7">
        <v>150.667</v>
      </c>
      <c r="I154" s="7"/>
      <c r="J154" s="7">
        <v>206.506</v>
      </c>
      <c r="K154" s="7">
        <v>307.225</v>
      </c>
      <c r="L154" s="7">
        <v>231.467</v>
      </c>
      <c r="M154" s="7">
        <v>192.084</v>
      </c>
      <c r="N154" s="7">
        <v>239.423</v>
      </c>
      <c r="O154" s="7">
        <v>413.73</v>
      </c>
      <c r="P154" s="7">
        <v>255.23</v>
      </c>
      <c r="Q154" s="7">
        <v>303.367</v>
      </c>
    </row>
    <row r="155" spans="1:17" ht="15.75">
      <c r="A155" s="83" t="s">
        <v>65</v>
      </c>
      <c r="B155" s="14">
        <v>217</v>
      </c>
      <c r="C155" s="7">
        <v>298.685</v>
      </c>
      <c r="D155" s="53">
        <v>322.426</v>
      </c>
      <c r="E155" s="7">
        <v>230.465</v>
      </c>
      <c r="F155" s="7"/>
      <c r="G155" s="7">
        <v>308.595</v>
      </c>
      <c r="H155" s="7">
        <v>150.667</v>
      </c>
      <c r="I155" s="7"/>
      <c r="J155" s="7">
        <v>206.506</v>
      </c>
      <c r="K155" s="7">
        <v>307.225</v>
      </c>
      <c r="L155" s="7">
        <v>207.003</v>
      </c>
      <c r="M155" s="7">
        <v>192.084</v>
      </c>
      <c r="N155" s="7">
        <v>239.423</v>
      </c>
      <c r="O155" s="7">
        <v>413.73</v>
      </c>
      <c r="P155" s="7">
        <v>255.23</v>
      </c>
      <c r="Q155" s="7">
        <v>303.367</v>
      </c>
    </row>
    <row r="156" spans="1:17" ht="15.75">
      <c r="A156" s="84" t="s">
        <v>66</v>
      </c>
      <c r="B156" s="14">
        <v>220</v>
      </c>
      <c r="C156" s="7">
        <v>298.685</v>
      </c>
      <c r="D156" s="53">
        <v>322.426</v>
      </c>
      <c r="E156" s="7">
        <v>230.465</v>
      </c>
      <c r="F156" s="7"/>
      <c r="G156" s="7">
        <v>308.595</v>
      </c>
      <c r="H156" s="7">
        <v>150.667</v>
      </c>
      <c r="I156" s="7"/>
      <c r="J156" s="7">
        <v>206.506</v>
      </c>
      <c r="K156" s="7">
        <v>276.9</v>
      </c>
      <c r="L156" s="7">
        <v>207.003</v>
      </c>
      <c r="M156" s="7">
        <v>192.084</v>
      </c>
      <c r="N156" s="7">
        <v>239.423</v>
      </c>
      <c r="O156" s="7">
        <v>413.73</v>
      </c>
      <c r="P156" s="7">
        <v>255.23</v>
      </c>
      <c r="Q156" s="7">
        <v>303.367</v>
      </c>
    </row>
    <row r="157" spans="1:17" ht="15.75">
      <c r="A157" s="84" t="s">
        <v>130</v>
      </c>
      <c r="B157" s="14">
        <v>229</v>
      </c>
      <c r="C157" s="8">
        <v>298.685</v>
      </c>
      <c r="D157" s="54">
        <v>322.426</v>
      </c>
      <c r="E157" s="8">
        <v>230.465</v>
      </c>
      <c r="F157" s="8"/>
      <c r="G157" s="8">
        <v>308.595</v>
      </c>
      <c r="H157" s="8">
        <v>150.667</v>
      </c>
      <c r="I157" s="8"/>
      <c r="J157" s="8">
        <v>197.373</v>
      </c>
      <c r="K157" s="8">
        <v>276.9</v>
      </c>
      <c r="L157" s="8">
        <v>207.003</v>
      </c>
      <c r="M157" s="8">
        <v>192.084</v>
      </c>
      <c r="N157" s="8">
        <v>239.423</v>
      </c>
      <c r="O157" s="8">
        <v>413.73</v>
      </c>
      <c r="P157" s="8">
        <v>255.23</v>
      </c>
      <c r="Q157" s="8">
        <v>303.367</v>
      </c>
    </row>
    <row r="158" spans="1:17" ht="15.75">
      <c r="A158" s="84" t="s">
        <v>132</v>
      </c>
      <c r="B158" s="14">
        <v>232</v>
      </c>
      <c r="C158" s="8">
        <v>298.685</v>
      </c>
      <c r="D158" s="54">
        <v>322.426</v>
      </c>
      <c r="E158" s="8">
        <v>230.465</v>
      </c>
      <c r="F158" s="8"/>
      <c r="G158" s="8">
        <v>308.595</v>
      </c>
      <c r="H158" s="8">
        <v>150.667</v>
      </c>
      <c r="I158" s="8"/>
      <c r="J158" s="8">
        <v>197.373</v>
      </c>
      <c r="K158" s="8">
        <v>276.9</v>
      </c>
      <c r="L158" s="8">
        <v>207.003</v>
      </c>
      <c r="M158" s="8">
        <v>192.084</v>
      </c>
      <c r="N158" s="8">
        <v>239.423</v>
      </c>
      <c r="O158" s="8">
        <v>413.73</v>
      </c>
      <c r="P158" s="8">
        <v>255.23</v>
      </c>
      <c r="Q158" s="8">
        <v>303.367</v>
      </c>
    </row>
    <row r="159" spans="1:17" ht="15.75">
      <c r="A159" s="85" t="s">
        <v>133</v>
      </c>
      <c r="B159" s="55">
        <v>239</v>
      </c>
      <c r="C159" s="56">
        <v>298.685</v>
      </c>
      <c r="D159" s="57">
        <v>322.426</v>
      </c>
      <c r="E159" s="56">
        <v>230.465</v>
      </c>
      <c r="F159" s="56"/>
      <c r="G159" s="56">
        <v>308.595</v>
      </c>
      <c r="H159" s="56">
        <v>150.667</v>
      </c>
      <c r="I159" s="56"/>
      <c r="J159" s="56">
        <v>197.373</v>
      </c>
      <c r="K159" s="56">
        <v>276.9</v>
      </c>
      <c r="L159" s="56">
        <v>196.01</v>
      </c>
      <c r="M159" s="56">
        <v>192.084</v>
      </c>
      <c r="N159" s="56">
        <v>239.423</v>
      </c>
      <c r="O159" s="56">
        <v>436.757</v>
      </c>
      <c r="P159" s="56">
        <v>255.23</v>
      </c>
      <c r="Q159" s="56">
        <v>303.367</v>
      </c>
    </row>
    <row r="160" spans="1:17" ht="15.75">
      <c r="A160" s="85" t="s">
        <v>135</v>
      </c>
      <c r="B160" s="55">
        <v>243</v>
      </c>
      <c r="C160" s="56">
        <v>310.599</v>
      </c>
      <c r="D160" s="54">
        <v>333.95</v>
      </c>
      <c r="E160" s="56">
        <v>230.465</v>
      </c>
      <c r="F160" s="56"/>
      <c r="G160" s="56">
        <v>321.679</v>
      </c>
      <c r="H160" s="56">
        <v>150.667</v>
      </c>
      <c r="I160" s="56"/>
      <c r="J160" s="56">
        <v>197.373</v>
      </c>
      <c r="K160" s="56">
        <v>268.492</v>
      </c>
      <c r="L160" s="56">
        <v>196.01</v>
      </c>
      <c r="M160" s="56">
        <v>192.084</v>
      </c>
      <c r="N160" s="56">
        <v>251.228</v>
      </c>
      <c r="O160" s="56">
        <v>436.757</v>
      </c>
      <c r="P160" s="56">
        <v>255.23</v>
      </c>
      <c r="Q160" s="56">
        <v>314.263</v>
      </c>
    </row>
    <row r="161" spans="1:17" ht="15.75">
      <c r="A161" s="86" t="s">
        <v>136</v>
      </c>
      <c r="B161" s="10">
        <v>6</v>
      </c>
      <c r="C161" s="8">
        <v>284.45</v>
      </c>
      <c r="D161" s="54">
        <v>305.801</v>
      </c>
      <c r="E161" s="8">
        <v>247.465</v>
      </c>
      <c r="F161" s="8"/>
      <c r="G161" s="8">
        <v>313.679</v>
      </c>
      <c r="H161" s="8">
        <v>152.582</v>
      </c>
      <c r="I161" s="8"/>
      <c r="J161" s="8">
        <v>199.373</v>
      </c>
      <c r="K161" s="8">
        <v>169.105</v>
      </c>
      <c r="L161" s="8">
        <v>134.091</v>
      </c>
      <c r="M161" s="8">
        <v>198.087</v>
      </c>
      <c r="N161" s="8">
        <v>299.228</v>
      </c>
      <c r="O161" s="8">
        <v>348.521</v>
      </c>
      <c r="P161" s="8">
        <v>255.23</v>
      </c>
      <c r="Q161" s="8">
        <v>248.184</v>
      </c>
    </row>
    <row r="162" spans="1:17" ht="15.75">
      <c r="A162" s="87" t="s">
        <v>138</v>
      </c>
      <c r="B162" s="3">
        <v>12</v>
      </c>
      <c r="C162" s="8">
        <v>271.349</v>
      </c>
      <c r="D162" s="54">
        <v>293.462</v>
      </c>
      <c r="E162" s="8">
        <v>233.065</v>
      </c>
      <c r="F162" s="8"/>
      <c r="G162" s="8">
        <v>296.939</v>
      </c>
      <c r="H162" s="8">
        <v>144.16</v>
      </c>
      <c r="I162" s="8"/>
      <c r="J162" s="8">
        <v>199.373</v>
      </c>
      <c r="K162" s="8">
        <v>140.355</v>
      </c>
      <c r="L162" s="8">
        <v>112.841</v>
      </c>
      <c r="M162" s="8">
        <v>198.087</v>
      </c>
      <c r="N162" s="8">
        <v>280.277</v>
      </c>
      <c r="O162" s="8">
        <v>348.521</v>
      </c>
      <c r="P162" s="8">
        <v>255.23</v>
      </c>
      <c r="Q162" s="8">
        <v>238.997</v>
      </c>
    </row>
    <row r="163" spans="1:17" ht="15.75">
      <c r="A163" s="87" t="s">
        <v>139</v>
      </c>
      <c r="B163" s="3">
        <v>16</v>
      </c>
      <c r="C163" s="8">
        <v>271.349</v>
      </c>
      <c r="D163" s="54">
        <v>293.462</v>
      </c>
      <c r="E163" s="8">
        <v>233.065</v>
      </c>
      <c r="F163" s="8"/>
      <c r="G163" s="8">
        <v>296.939</v>
      </c>
      <c r="H163" s="8">
        <v>144.16</v>
      </c>
      <c r="I163" s="8"/>
      <c r="J163" s="8">
        <v>188.896</v>
      </c>
      <c r="K163" s="8">
        <v>135.943</v>
      </c>
      <c r="L163" s="8">
        <v>108.568</v>
      </c>
      <c r="M163" s="8">
        <v>162.331</v>
      </c>
      <c r="N163" s="8">
        <v>280.277</v>
      </c>
      <c r="O163" s="8">
        <v>324.821</v>
      </c>
      <c r="P163" s="8">
        <v>255.23</v>
      </c>
      <c r="Q163" s="8">
        <v>238.997</v>
      </c>
    </row>
    <row r="164" spans="1:17" ht="15.75">
      <c r="A164" s="87" t="s">
        <v>140</v>
      </c>
      <c r="B164" s="3">
        <v>18</v>
      </c>
      <c r="C164" s="8">
        <v>249.803</v>
      </c>
      <c r="D164" s="54">
        <v>270.537</v>
      </c>
      <c r="E164" s="8">
        <v>218.681</v>
      </c>
      <c r="F164" s="8"/>
      <c r="G164" s="8">
        <v>282.461</v>
      </c>
      <c r="H164" s="8">
        <v>138.404</v>
      </c>
      <c r="I164" s="8"/>
      <c r="J164" s="8">
        <v>188.896</v>
      </c>
      <c r="K164" s="8">
        <v>135.943</v>
      </c>
      <c r="L164" s="8">
        <v>108.568</v>
      </c>
      <c r="M164" s="8">
        <v>162.331</v>
      </c>
      <c r="N164" s="8">
        <v>268.718</v>
      </c>
      <c r="O164" s="8">
        <v>324.821</v>
      </c>
      <c r="P164" s="8">
        <v>255.23</v>
      </c>
      <c r="Q164" s="8">
        <v>227.65</v>
      </c>
    </row>
    <row r="165" spans="1:17" ht="15.75">
      <c r="A165" s="87" t="s">
        <v>142</v>
      </c>
      <c r="B165" s="3">
        <v>25</v>
      </c>
      <c r="C165" s="7">
        <f>C164</f>
        <v>249.803</v>
      </c>
      <c r="D165" s="7">
        <f>D164</f>
        <v>270.537</v>
      </c>
      <c r="E165" s="7">
        <f aca="true" t="shared" si="0" ref="E165:Q165">E164</f>
        <v>218.681</v>
      </c>
      <c r="F165" s="7"/>
      <c r="G165" s="7">
        <f t="shared" si="0"/>
        <v>282.461</v>
      </c>
      <c r="H165" s="7">
        <f t="shared" si="0"/>
        <v>138.404</v>
      </c>
      <c r="I165" s="7"/>
      <c r="J165" s="7">
        <v>177.16</v>
      </c>
      <c r="K165" s="7">
        <f t="shared" si="0"/>
        <v>135.943</v>
      </c>
      <c r="L165" s="7">
        <f t="shared" si="0"/>
        <v>108.568</v>
      </c>
      <c r="M165" s="7">
        <f t="shared" si="0"/>
        <v>162.331</v>
      </c>
      <c r="N165" s="7">
        <f t="shared" si="0"/>
        <v>268.718</v>
      </c>
      <c r="O165" s="7">
        <v>304.274</v>
      </c>
      <c r="P165" s="7">
        <f t="shared" si="0"/>
        <v>255.23</v>
      </c>
      <c r="Q165" s="7">
        <f t="shared" si="0"/>
        <v>227.65</v>
      </c>
    </row>
    <row r="166" spans="1:17" ht="15.75">
      <c r="A166" s="87" t="s">
        <v>143</v>
      </c>
      <c r="B166" s="3">
        <v>37</v>
      </c>
      <c r="C166" s="7">
        <v>260.861</v>
      </c>
      <c r="D166" s="8">
        <v>280.823</v>
      </c>
      <c r="E166" s="7">
        <v>230.286</v>
      </c>
      <c r="F166" s="7"/>
      <c r="G166" s="7">
        <v>295.578</v>
      </c>
      <c r="H166" s="7">
        <v>144.716</v>
      </c>
      <c r="I166" s="7"/>
      <c r="J166" s="7">
        <v>187.045</v>
      </c>
      <c r="K166" s="7">
        <v>146.981</v>
      </c>
      <c r="L166" s="7">
        <v>114.203</v>
      </c>
      <c r="M166" s="7">
        <v>169.868</v>
      </c>
      <c r="N166" s="7">
        <v>279.17</v>
      </c>
      <c r="O166" s="7">
        <v>322.367</v>
      </c>
      <c r="P166" s="7">
        <v>255.23</v>
      </c>
      <c r="Q166" s="7">
        <v>235.223</v>
      </c>
    </row>
    <row r="167" spans="1:17" ht="15.75">
      <c r="A167" s="87" t="s">
        <v>148</v>
      </c>
      <c r="B167" s="3">
        <v>41</v>
      </c>
      <c r="C167" s="7">
        <v>260.861</v>
      </c>
      <c r="D167" s="8">
        <v>280.823</v>
      </c>
      <c r="E167" s="7">
        <v>230.286</v>
      </c>
      <c r="F167" s="7"/>
      <c r="G167" s="7">
        <v>295.578</v>
      </c>
      <c r="H167" s="7">
        <v>144.716</v>
      </c>
      <c r="I167" s="7"/>
      <c r="J167" s="7">
        <v>187.045</v>
      </c>
      <c r="K167" s="7">
        <v>146.981</v>
      </c>
      <c r="L167" s="7">
        <v>114.203</v>
      </c>
      <c r="M167" s="7">
        <v>169.868</v>
      </c>
      <c r="N167" s="7">
        <v>279.17</v>
      </c>
      <c r="O167" s="7">
        <v>322.367</v>
      </c>
      <c r="P167" s="7">
        <v>255.23</v>
      </c>
      <c r="Q167" s="7">
        <v>235.223</v>
      </c>
    </row>
    <row r="168" spans="1:17" ht="15.75">
      <c r="A168" s="87" t="s">
        <v>149</v>
      </c>
      <c r="B168" s="3">
        <v>48</v>
      </c>
      <c r="C168" s="7">
        <v>279.86</v>
      </c>
      <c r="D168" s="8">
        <v>297.339</v>
      </c>
      <c r="E168" s="7">
        <v>230.286</v>
      </c>
      <c r="F168" s="7"/>
      <c r="G168" s="7">
        <v>295.578</v>
      </c>
      <c r="H168" s="7">
        <v>144.716</v>
      </c>
      <c r="I168" s="7"/>
      <c r="J168" s="7">
        <v>187.045</v>
      </c>
      <c r="K168" s="7">
        <v>146.981</v>
      </c>
      <c r="L168" s="7">
        <v>114.203</v>
      </c>
      <c r="M168" s="7">
        <v>169.868</v>
      </c>
      <c r="N168" s="7">
        <v>279.17</v>
      </c>
      <c r="O168" s="7">
        <v>351.317</v>
      </c>
      <c r="P168" s="7">
        <v>255.23</v>
      </c>
      <c r="Q168" s="7">
        <v>254.047</v>
      </c>
    </row>
    <row r="169" spans="1:17" ht="15.75">
      <c r="A169" s="87" t="s">
        <v>146</v>
      </c>
      <c r="B169" s="3">
        <v>53</v>
      </c>
      <c r="C169" s="7">
        <v>279.86</v>
      </c>
      <c r="D169" s="8">
        <v>297.339</v>
      </c>
      <c r="E169" s="7">
        <v>243.673</v>
      </c>
      <c r="F169" s="7"/>
      <c r="G169" s="7">
        <v>311.061</v>
      </c>
      <c r="H169" s="7">
        <v>152.885</v>
      </c>
      <c r="I169" s="7"/>
      <c r="J169" s="7">
        <v>196.267</v>
      </c>
      <c r="K169" s="7">
        <v>146.981</v>
      </c>
      <c r="L169" s="7">
        <v>114.203</v>
      </c>
      <c r="M169" s="7">
        <v>169.868</v>
      </c>
      <c r="N169" s="7">
        <v>292.665</v>
      </c>
      <c r="O169" s="7">
        <v>351.317</v>
      </c>
      <c r="P169" s="7">
        <v>255.23</v>
      </c>
      <c r="Q169" s="7">
        <v>254.047</v>
      </c>
    </row>
    <row r="170" spans="1:17" ht="15.75">
      <c r="A170" s="87" t="s">
        <v>150</v>
      </c>
      <c r="B170" s="3">
        <v>58</v>
      </c>
      <c r="C170" s="7">
        <v>314.109</v>
      </c>
      <c r="D170" s="8">
        <v>331.974</v>
      </c>
      <c r="E170" s="7">
        <v>243.673</v>
      </c>
      <c r="F170" s="7"/>
      <c r="G170" s="7">
        <v>311.061</v>
      </c>
      <c r="H170" s="7">
        <v>152.885</v>
      </c>
      <c r="I170" s="7"/>
      <c r="J170" s="7">
        <v>196.267</v>
      </c>
      <c r="K170" s="7">
        <v>146.981</v>
      </c>
      <c r="L170" s="7">
        <v>114.203</v>
      </c>
      <c r="M170" s="7">
        <v>169.868</v>
      </c>
      <c r="N170" s="7">
        <v>292.665</v>
      </c>
      <c r="O170" s="7">
        <v>393.165</v>
      </c>
      <c r="P170" s="7">
        <v>255.23</v>
      </c>
      <c r="Q170" s="7">
        <v>292.229</v>
      </c>
    </row>
    <row r="171" spans="1:17" ht="15.75">
      <c r="A171" s="87" t="s">
        <v>151</v>
      </c>
      <c r="B171" s="3">
        <v>64</v>
      </c>
      <c r="C171" s="7">
        <v>314.109</v>
      </c>
      <c r="D171" s="8">
        <v>331.974</v>
      </c>
      <c r="E171" s="7">
        <v>243.673</v>
      </c>
      <c r="F171" s="7"/>
      <c r="G171" s="7">
        <v>311.061</v>
      </c>
      <c r="H171" s="7">
        <v>152.885</v>
      </c>
      <c r="I171" s="7"/>
      <c r="J171" s="7">
        <v>196.267</v>
      </c>
      <c r="K171" s="7">
        <v>154.849</v>
      </c>
      <c r="L171" s="7">
        <v>121.296</v>
      </c>
      <c r="M171" s="7">
        <v>178.042</v>
      </c>
      <c r="N171" s="7">
        <v>292.665</v>
      </c>
      <c r="O171" s="7">
        <v>393.165</v>
      </c>
      <c r="P171" s="7">
        <v>255.23</v>
      </c>
      <c r="Q171" s="7">
        <v>292.229</v>
      </c>
    </row>
    <row r="172" spans="1:17" ht="15.75">
      <c r="A172" s="87" t="s">
        <v>275</v>
      </c>
      <c r="B172" s="3">
        <v>70</v>
      </c>
      <c r="C172" s="7">
        <v>314.109</v>
      </c>
      <c r="D172" s="7">
        <v>347.793</v>
      </c>
      <c r="E172" s="7">
        <v>243.673</v>
      </c>
      <c r="F172" s="7"/>
      <c r="G172" s="7">
        <v>311.061</v>
      </c>
      <c r="H172" s="7">
        <v>152.885</v>
      </c>
      <c r="I172" s="7"/>
      <c r="J172" s="7">
        <v>196.267</v>
      </c>
      <c r="K172" s="7">
        <v>154.849</v>
      </c>
      <c r="L172" s="7">
        <v>121.296</v>
      </c>
      <c r="M172" s="7">
        <v>178.042</v>
      </c>
      <c r="N172" s="7">
        <v>292.665</v>
      </c>
      <c r="O172" s="7">
        <v>421.515</v>
      </c>
      <c r="P172" s="7">
        <v>255.23</v>
      </c>
      <c r="Q172" s="7">
        <v>292.229</v>
      </c>
    </row>
    <row r="173" spans="1:17" ht="15.75">
      <c r="A173" s="87" t="s">
        <v>147</v>
      </c>
      <c r="B173" s="3">
        <v>72</v>
      </c>
      <c r="C173" s="7">
        <v>329.917</v>
      </c>
      <c r="D173" s="7">
        <v>347.793</v>
      </c>
      <c r="E173" s="7">
        <v>243.673</v>
      </c>
      <c r="F173" s="7"/>
      <c r="G173" s="7">
        <v>311.0631</v>
      </c>
      <c r="H173" s="7">
        <v>152.885</v>
      </c>
      <c r="I173" s="7"/>
      <c r="J173" s="7">
        <v>196.267</v>
      </c>
      <c r="K173" s="7">
        <v>154.849</v>
      </c>
      <c r="L173" s="7">
        <v>121.296</v>
      </c>
      <c r="M173" s="7">
        <v>178.042</v>
      </c>
      <c r="N173" s="7">
        <v>292.665</v>
      </c>
      <c r="O173" s="7">
        <v>421.515</v>
      </c>
      <c r="P173" s="7">
        <v>255.23</v>
      </c>
      <c r="Q173" s="7">
        <v>292.229</v>
      </c>
    </row>
    <row r="174" spans="1:17" ht="15.75">
      <c r="A174" s="87" t="s">
        <v>152</v>
      </c>
      <c r="B174" s="3">
        <v>79</v>
      </c>
      <c r="C174" s="7">
        <v>329.917</v>
      </c>
      <c r="D174" s="7">
        <v>382.379</v>
      </c>
      <c r="E174" s="7">
        <v>256.729</v>
      </c>
      <c r="F174" s="7"/>
      <c r="G174" s="7">
        <v>328.845</v>
      </c>
      <c r="H174" s="7">
        <v>162.382</v>
      </c>
      <c r="I174" s="7"/>
      <c r="J174" s="7">
        <v>206.698</v>
      </c>
      <c r="K174" s="7">
        <v>154.849</v>
      </c>
      <c r="L174" s="7">
        <v>121.296</v>
      </c>
      <c r="M174" s="7">
        <v>189.679</v>
      </c>
      <c r="N174" s="7">
        <v>308.51</v>
      </c>
      <c r="O174" s="7">
        <v>481.839</v>
      </c>
      <c r="P174" s="7">
        <v>255.23</v>
      </c>
      <c r="Q174" s="7">
        <v>308.571</v>
      </c>
    </row>
    <row r="175" spans="1:17" ht="15.75">
      <c r="A175" s="88" t="s">
        <v>153</v>
      </c>
      <c r="B175" s="3">
        <v>81</v>
      </c>
      <c r="C175" s="7">
        <v>370.036</v>
      </c>
      <c r="D175" s="7">
        <v>382.379</v>
      </c>
      <c r="E175" s="7">
        <v>256.729</v>
      </c>
      <c r="F175" s="7"/>
      <c r="G175" s="7">
        <v>328.845</v>
      </c>
      <c r="H175" s="7">
        <v>162.382</v>
      </c>
      <c r="I175" s="7"/>
      <c r="J175" s="7">
        <v>206.698</v>
      </c>
      <c r="K175" s="7">
        <v>154.849</v>
      </c>
      <c r="L175" s="7">
        <v>121.296</v>
      </c>
      <c r="M175" s="7">
        <v>189.679</v>
      </c>
      <c r="N175" s="7">
        <v>308.51</v>
      </c>
      <c r="O175" s="7">
        <v>481.839</v>
      </c>
      <c r="P175" s="7">
        <v>255.23</v>
      </c>
      <c r="Q175" s="7">
        <v>308.571</v>
      </c>
    </row>
    <row r="176" spans="1:17" ht="15.75">
      <c r="A176" s="88" t="s">
        <v>154</v>
      </c>
      <c r="B176" s="3">
        <v>94</v>
      </c>
      <c r="C176" s="7">
        <v>370.036</v>
      </c>
      <c r="D176" s="7">
        <v>370.036</v>
      </c>
      <c r="E176" s="7">
        <v>271.982</v>
      </c>
      <c r="F176" s="7"/>
      <c r="G176" s="7">
        <v>350.678</v>
      </c>
      <c r="H176" s="7">
        <v>177.775</v>
      </c>
      <c r="I176" s="7"/>
      <c r="J176" s="7">
        <v>216.751</v>
      </c>
      <c r="K176" s="7">
        <v>163.453</v>
      </c>
      <c r="L176" s="7">
        <v>129.488</v>
      </c>
      <c r="M176" s="7">
        <v>199.544</v>
      </c>
      <c r="N176" s="7">
        <v>328.752</v>
      </c>
      <c r="O176" s="7">
        <v>481.839</v>
      </c>
      <c r="P176" s="7">
        <v>255.23</v>
      </c>
      <c r="Q176" s="7">
        <v>351.13</v>
      </c>
    </row>
    <row r="177" spans="1:17" ht="15.75">
      <c r="A177" s="89" t="s">
        <v>157</v>
      </c>
      <c r="B177" s="3">
        <v>108</v>
      </c>
      <c r="C177" s="7">
        <v>370.036</v>
      </c>
      <c r="D177" s="7">
        <v>399.151</v>
      </c>
      <c r="E177" s="7">
        <v>271.982</v>
      </c>
      <c r="F177" s="7"/>
      <c r="G177" s="7">
        <v>350.678</v>
      </c>
      <c r="H177" s="7">
        <v>177.775</v>
      </c>
      <c r="I177" s="7"/>
      <c r="J177" s="7">
        <v>216.751</v>
      </c>
      <c r="K177" s="7">
        <v>163.453</v>
      </c>
      <c r="L177" s="7">
        <v>129.488</v>
      </c>
      <c r="M177" s="7">
        <v>199.544</v>
      </c>
      <c r="N177" s="7">
        <v>328.752</v>
      </c>
      <c r="O177" s="7">
        <v>481.839</v>
      </c>
      <c r="P177" s="7">
        <v>255.23</v>
      </c>
      <c r="Q177" s="7">
        <v>351.13</v>
      </c>
    </row>
    <row r="178" spans="1:17" ht="15.75">
      <c r="A178" s="90" t="s">
        <v>158</v>
      </c>
      <c r="B178" s="3">
        <v>151</v>
      </c>
      <c r="C178" s="7">
        <v>402.04</v>
      </c>
      <c r="D178" s="7">
        <v>431.15</v>
      </c>
      <c r="E178" s="7">
        <v>304.33</v>
      </c>
      <c r="F178" s="7"/>
      <c r="G178" s="7">
        <v>360.6</v>
      </c>
      <c r="H178" s="7">
        <v>196.19</v>
      </c>
      <c r="I178" s="7"/>
      <c r="J178" s="7">
        <v>230.9</v>
      </c>
      <c r="K178" s="7">
        <v>181.58</v>
      </c>
      <c r="L178" s="7">
        <v>175.75</v>
      </c>
      <c r="M178" s="7">
        <v>219.74</v>
      </c>
      <c r="N178" s="7">
        <v>350.31</v>
      </c>
      <c r="O178" s="7">
        <v>535.02</v>
      </c>
      <c r="P178" s="7">
        <v>255.23</v>
      </c>
      <c r="Q178" s="7">
        <v>321.81</v>
      </c>
    </row>
    <row r="179" spans="1:17" ht="15.75">
      <c r="A179" s="90" t="s">
        <v>160</v>
      </c>
      <c r="B179" s="3">
        <v>158</v>
      </c>
      <c r="C179" s="7">
        <v>402.04</v>
      </c>
      <c r="D179" s="7">
        <v>431.15</v>
      </c>
      <c r="E179" s="7">
        <v>304.33</v>
      </c>
      <c r="F179" s="7"/>
      <c r="G179" s="7">
        <v>360.6</v>
      </c>
      <c r="H179" s="7">
        <v>196.19</v>
      </c>
      <c r="I179" s="7"/>
      <c r="J179" s="7">
        <v>230.9</v>
      </c>
      <c r="K179" s="7">
        <v>181.58</v>
      </c>
      <c r="L179" s="7">
        <v>175.75</v>
      </c>
      <c r="M179" s="7">
        <v>219.74</v>
      </c>
      <c r="N179" s="7">
        <v>350.31</v>
      </c>
      <c r="O179" s="7">
        <v>535.02</v>
      </c>
      <c r="P179" s="7">
        <v>255.23</v>
      </c>
      <c r="Q179" s="7">
        <v>321.81</v>
      </c>
    </row>
    <row r="180" spans="1:17" ht="15.75">
      <c r="A180" s="90" t="s">
        <v>161</v>
      </c>
      <c r="B180" s="3">
        <v>181</v>
      </c>
      <c r="C180" s="7">
        <v>402.04</v>
      </c>
      <c r="D180" s="7">
        <v>431.15</v>
      </c>
      <c r="E180" s="7">
        <v>304.33</v>
      </c>
      <c r="F180" s="7"/>
      <c r="G180" s="7">
        <v>360.6</v>
      </c>
      <c r="H180" s="7">
        <v>196.19</v>
      </c>
      <c r="I180" s="7"/>
      <c r="J180" s="7">
        <v>230.9</v>
      </c>
      <c r="K180" s="7">
        <v>181.58</v>
      </c>
      <c r="L180" s="7">
        <v>175.75</v>
      </c>
      <c r="M180" s="7">
        <v>219.74</v>
      </c>
      <c r="N180" s="7">
        <v>350.31</v>
      </c>
      <c r="O180" s="7">
        <v>535.02</v>
      </c>
      <c r="P180" s="7">
        <v>255.23</v>
      </c>
      <c r="Q180" s="7">
        <v>321.81</v>
      </c>
    </row>
    <row r="181" spans="1:17" ht="15.75">
      <c r="A181" s="90" t="s">
        <v>162</v>
      </c>
      <c r="B181" s="3">
        <v>197</v>
      </c>
      <c r="C181" s="7">
        <v>337.942</v>
      </c>
      <c r="D181" s="7">
        <v>346.949</v>
      </c>
      <c r="E181" s="7">
        <v>336.216</v>
      </c>
      <c r="F181" s="7"/>
      <c r="G181" s="7">
        <v>353.179</v>
      </c>
      <c r="H181" s="7">
        <v>233.087</v>
      </c>
      <c r="I181" s="7"/>
      <c r="J181" s="7">
        <v>288.4</v>
      </c>
      <c r="K181" s="7">
        <v>205.648</v>
      </c>
      <c r="L181" s="7">
        <v>160.548</v>
      </c>
      <c r="M181" s="7">
        <v>237.735</v>
      </c>
      <c r="N181" s="7">
        <v>353.179</v>
      </c>
      <c r="O181" s="7">
        <v>422.102</v>
      </c>
      <c r="P181" s="7">
        <v>318.021</v>
      </c>
      <c r="Q181" s="7">
        <v>319.719</v>
      </c>
    </row>
    <row r="182" spans="1:17" ht="15.75">
      <c r="A182" s="91" t="s">
        <v>164</v>
      </c>
      <c r="B182" s="3">
        <v>215</v>
      </c>
      <c r="C182" s="7">
        <v>346.207</v>
      </c>
      <c r="D182" s="7">
        <v>352.041</v>
      </c>
      <c r="E182" s="7">
        <v>359.899</v>
      </c>
      <c r="F182" s="7"/>
      <c r="G182" s="7">
        <v>374.742</v>
      </c>
      <c r="H182" s="7">
        <v>250.361</v>
      </c>
      <c r="I182" s="7"/>
      <c r="J182" s="7">
        <v>309.832</v>
      </c>
      <c r="K182" s="7">
        <v>199.733</v>
      </c>
      <c r="L182" s="7">
        <v>158.976</v>
      </c>
      <c r="M182" s="7">
        <v>255.146</v>
      </c>
      <c r="N182" s="7">
        <v>374.742</v>
      </c>
      <c r="O182" s="7">
        <v>422.755</v>
      </c>
      <c r="P182" s="7">
        <v>337.269</v>
      </c>
      <c r="Q182" s="7">
        <v>338.649</v>
      </c>
    </row>
    <row r="183" spans="1:17" ht="15.75">
      <c r="A183" s="91" t="s">
        <v>166</v>
      </c>
      <c r="B183" s="3">
        <v>221</v>
      </c>
      <c r="C183" s="7">
        <v>346.207</v>
      </c>
      <c r="D183" s="7">
        <v>352.041</v>
      </c>
      <c r="E183" s="7">
        <v>359.899</v>
      </c>
      <c r="F183" s="7"/>
      <c r="G183" s="7">
        <v>374.742</v>
      </c>
      <c r="H183" s="7">
        <v>250.361</v>
      </c>
      <c r="I183" s="7"/>
      <c r="J183" s="7">
        <v>309.832</v>
      </c>
      <c r="K183" s="7">
        <v>199.733</v>
      </c>
      <c r="L183" s="7">
        <v>158.976</v>
      </c>
      <c r="M183" s="7">
        <v>255.146</v>
      </c>
      <c r="N183" s="7">
        <v>374.742</v>
      </c>
      <c r="O183" s="7">
        <v>422.755</v>
      </c>
      <c r="P183" s="7">
        <v>337.269</v>
      </c>
      <c r="Q183" s="7">
        <v>338.649</v>
      </c>
    </row>
    <row r="184" spans="1:17" ht="15.75">
      <c r="A184" s="91" t="s">
        <v>168</v>
      </c>
      <c r="B184" s="3">
        <v>226</v>
      </c>
      <c r="C184" s="7">
        <v>346.207</v>
      </c>
      <c r="D184" s="7">
        <v>352.041</v>
      </c>
      <c r="E184" s="7">
        <v>359.899</v>
      </c>
      <c r="F184" s="7"/>
      <c r="G184" s="7">
        <v>374.742</v>
      </c>
      <c r="H184" s="7">
        <v>250.361</v>
      </c>
      <c r="I184" s="7"/>
      <c r="J184" s="7">
        <v>309.832</v>
      </c>
      <c r="K184" s="7">
        <v>199.733</v>
      </c>
      <c r="L184" s="7">
        <v>158.976</v>
      </c>
      <c r="M184" s="7">
        <v>255.146</v>
      </c>
      <c r="N184" s="7">
        <v>374.742</v>
      </c>
      <c r="O184" s="7">
        <v>422.755</v>
      </c>
      <c r="P184" s="7">
        <v>337.269</v>
      </c>
      <c r="Q184" s="7">
        <v>338.649</v>
      </c>
    </row>
    <row r="185" spans="1:17" ht="15.75">
      <c r="A185" s="90" t="s">
        <v>170</v>
      </c>
      <c r="B185" s="3">
        <v>237</v>
      </c>
      <c r="C185" s="7">
        <v>365.694</v>
      </c>
      <c r="D185" s="7">
        <v>374.033</v>
      </c>
      <c r="E185" s="7">
        <v>385.12</v>
      </c>
      <c r="F185" s="7"/>
      <c r="G185" s="7">
        <v>400.299</v>
      </c>
      <c r="H185" s="7">
        <v>280.987</v>
      </c>
      <c r="I185" s="7"/>
      <c r="J185" s="7">
        <v>338.772</v>
      </c>
      <c r="K185" s="7">
        <v>197.775</v>
      </c>
      <c r="L185" s="7">
        <v>160.261</v>
      </c>
      <c r="M185" s="7">
        <v>278.862</v>
      </c>
      <c r="N185" s="7">
        <v>400.299</v>
      </c>
      <c r="O185" s="7">
        <v>448.295</v>
      </c>
      <c r="P185" s="7">
        <v>360.724</v>
      </c>
      <c r="Q185" s="7">
        <v>362.104</v>
      </c>
    </row>
    <row r="186" spans="1:17" ht="15.75">
      <c r="A186" s="90" t="s">
        <v>171</v>
      </c>
      <c r="B186" s="3">
        <v>14</v>
      </c>
      <c r="C186" s="7">
        <v>357.895</v>
      </c>
      <c r="D186" s="7">
        <v>361.573</v>
      </c>
      <c r="E186" s="7">
        <v>392.465</v>
      </c>
      <c r="F186" s="7"/>
      <c r="G186" s="7">
        <v>404.25</v>
      </c>
      <c r="H186" s="7">
        <v>274.523</v>
      </c>
      <c r="I186" s="7"/>
      <c r="J186" s="7">
        <v>340.32</v>
      </c>
      <c r="K186" s="7">
        <v>213.781</v>
      </c>
      <c r="L186" s="7">
        <v>169.32</v>
      </c>
      <c r="M186" s="7">
        <v>273.902</v>
      </c>
      <c r="N186" s="7">
        <v>404.649</v>
      </c>
      <c r="O186" s="7">
        <v>427.031</v>
      </c>
      <c r="P186" s="7">
        <v>350.819</v>
      </c>
      <c r="Q186" s="7">
        <v>352.04</v>
      </c>
    </row>
    <row r="187" spans="1:17" ht="15.75">
      <c r="A187" s="90" t="s">
        <v>173</v>
      </c>
      <c r="B187" s="3">
        <v>31</v>
      </c>
      <c r="C187" s="7">
        <v>367.496</v>
      </c>
      <c r="D187" s="7">
        <v>372.538</v>
      </c>
      <c r="E187" s="7">
        <v>395.941</v>
      </c>
      <c r="F187" s="7">
        <v>394.956</v>
      </c>
      <c r="G187" s="7">
        <v>405.921</v>
      </c>
      <c r="H187" s="7">
        <v>276.675</v>
      </c>
      <c r="I187" s="7"/>
      <c r="J187" s="7">
        <v>343.239</v>
      </c>
      <c r="K187" s="7">
        <v>222.865</v>
      </c>
      <c r="L187" s="7">
        <v>174.057</v>
      </c>
      <c r="M187" s="7">
        <v>280.796</v>
      </c>
      <c r="N187" s="7">
        <v>405.921</v>
      </c>
      <c r="O187" s="7">
        <v>439.309</v>
      </c>
      <c r="P187" s="7">
        <v>357.652</v>
      </c>
      <c r="Q187" s="7">
        <v>359.147</v>
      </c>
    </row>
    <row r="188" spans="1:17" ht="15.75">
      <c r="A188" s="90" t="s">
        <v>176</v>
      </c>
      <c r="B188" s="3">
        <v>38</v>
      </c>
      <c r="C188" s="7">
        <v>367.496</v>
      </c>
      <c r="D188" s="7">
        <v>372.538</v>
      </c>
      <c r="E188" s="7">
        <v>395.941</v>
      </c>
      <c r="F188" s="7">
        <v>394.956</v>
      </c>
      <c r="G188" s="7">
        <v>405.921</v>
      </c>
      <c r="H188" s="7">
        <v>276.675</v>
      </c>
      <c r="I188" s="7"/>
      <c r="J188" s="7">
        <v>343.239</v>
      </c>
      <c r="K188" s="7">
        <v>222.865</v>
      </c>
      <c r="L188" s="7">
        <v>174.057</v>
      </c>
      <c r="M188" s="7">
        <v>280.796</v>
      </c>
      <c r="N188" s="7">
        <v>405.921</v>
      </c>
      <c r="O188" s="7">
        <v>439.309</v>
      </c>
      <c r="P188" s="7">
        <v>357.652</v>
      </c>
      <c r="Q188" s="7">
        <v>359.147</v>
      </c>
    </row>
    <row r="189" spans="1:17" ht="15.75">
      <c r="A189" s="91" t="s">
        <v>178</v>
      </c>
      <c r="B189" s="3">
        <v>46</v>
      </c>
      <c r="C189" s="7">
        <v>355.297</v>
      </c>
      <c r="D189" s="7">
        <v>359.794</v>
      </c>
      <c r="E189" s="7">
        <v>380.05</v>
      </c>
      <c r="F189" s="7">
        <v>379.068</v>
      </c>
      <c r="G189" s="7">
        <v>393.785</v>
      </c>
      <c r="H189" s="7">
        <v>268.22</v>
      </c>
      <c r="I189" s="7"/>
      <c r="J189" s="7">
        <v>330.52</v>
      </c>
      <c r="K189" s="7">
        <v>232.018</v>
      </c>
      <c r="L189" s="7">
        <v>178.71</v>
      </c>
      <c r="M189" s="7">
        <v>266.446</v>
      </c>
      <c r="N189" s="7">
        <v>393.785</v>
      </c>
      <c r="O189" s="7">
        <v>428.517</v>
      </c>
      <c r="P189" s="7">
        <v>352.461</v>
      </c>
      <c r="Q189" s="7">
        <v>352.99</v>
      </c>
    </row>
    <row r="190" spans="1:17" ht="15.75">
      <c r="A190" s="91" t="s">
        <v>180</v>
      </c>
      <c r="B190" s="3">
        <v>76</v>
      </c>
      <c r="C190" s="7">
        <v>390.012</v>
      </c>
      <c r="D190" s="7">
        <v>396.15</v>
      </c>
      <c r="E190" s="7">
        <v>424.922</v>
      </c>
      <c r="F190" s="7">
        <v>423.943</v>
      </c>
      <c r="G190" s="7">
        <v>443.636</v>
      </c>
      <c r="H190" s="7">
        <v>278.321</v>
      </c>
      <c r="I190" s="7"/>
      <c r="J190" s="7">
        <v>360.589</v>
      </c>
      <c r="K190" s="7">
        <v>236.004</v>
      </c>
      <c r="L190" s="7">
        <v>181.498</v>
      </c>
      <c r="M190" s="7">
        <v>264.659</v>
      </c>
      <c r="N190" s="7">
        <v>443.636</v>
      </c>
      <c r="O190" s="7">
        <v>468.396</v>
      </c>
      <c r="P190" s="7">
        <v>371.289</v>
      </c>
      <c r="Q190" s="7">
        <v>372.594</v>
      </c>
    </row>
    <row r="191" spans="1:17" ht="15.75">
      <c r="A191" s="91" t="s">
        <v>181</v>
      </c>
      <c r="B191" s="3">
        <v>94</v>
      </c>
      <c r="C191" s="7">
        <v>402.491</v>
      </c>
      <c r="D191" s="7">
        <v>412.162</v>
      </c>
      <c r="E191" s="7">
        <v>453.327</v>
      </c>
      <c r="F191" s="7">
        <v>452.344</v>
      </c>
      <c r="G191" s="7">
        <v>474.924</v>
      </c>
      <c r="H191" s="7">
        <v>282.023</v>
      </c>
      <c r="I191" s="7"/>
      <c r="J191" s="7">
        <v>378.466</v>
      </c>
      <c r="K191" s="7">
        <v>238.788</v>
      </c>
      <c r="L191" s="7">
        <v>183.468</v>
      </c>
      <c r="M191" s="7">
        <v>485.857</v>
      </c>
      <c r="N191" s="7">
        <v>474.924</v>
      </c>
      <c r="O191" s="7">
        <v>485.857</v>
      </c>
      <c r="P191" s="7">
        <v>392.322</v>
      </c>
      <c r="Q191" s="7">
        <v>393.352</v>
      </c>
    </row>
    <row r="192" spans="1:17" ht="15.75">
      <c r="A192" s="91" t="s">
        <v>183</v>
      </c>
      <c r="B192" s="3">
        <v>110</v>
      </c>
      <c r="C192" s="7">
        <v>442.179</v>
      </c>
      <c r="D192" s="7">
        <v>447.486</v>
      </c>
      <c r="E192" s="7">
        <v>489.07</v>
      </c>
      <c r="F192" s="7">
        <v>488.071</v>
      </c>
      <c r="G192" s="7">
        <v>515.397</v>
      </c>
      <c r="H192" s="7">
        <v>305.325</v>
      </c>
      <c r="I192" s="7"/>
      <c r="J192" s="7">
        <v>408.877</v>
      </c>
      <c r="K192" s="7">
        <v>252.082</v>
      </c>
      <c r="L192" s="7">
        <v>192.861</v>
      </c>
      <c r="M192" s="7">
        <v>292.365</v>
      </c>
      <c r="N192" s="7">
        <v>515.397</v>
      </c>
      <c r="O192" s="7">
        <v>528.696</v>
      </c>
      <c r="P192" s="7">
        <v>434.154</v>
      </c>
      <c r="Q192" s="7">
        <v>435.669</v>
      </c>
    </row>
    <row r="193" spans="1:17" ht="15.75">
      <c r="A193" s="91" t="s">
        <v>185</v>
      </c>
      <c r="B193" s="3">
        <v>135</v>
      </c>
      <c r="C193" s="7">
        <v>500.82</v>
      </c>
      <c r="D193" s="7">
        <v>504.827</v>
      </c>
      <c r="E193" s="7">
        <v>574.479</v>
      </c>
      <c r="F193" s="7">
        <v>573.448</v>
      </c>
      <c r="G193" s="7">
        <v>589.584</v>
      </c>
      <c r="H193" s="7">
        <v>344.398</v>
      </c>
      <c r="I193" s="7"/>
      <c r="J193" s="7">
        <v>474.491</v>
      </c>
      <c r="K193" s="7">
        <v>296.297</v>
      </c>
      <c r="L193" s="7">
        <v>221.182</v>
      </c>
      <c r="M193" s="7">
        <v>317.998</v>
      </c>
      <c r="N193" s="7">
        <v>589.584</v>
      </c>
      <c r="O193" s="7">
        <v>618.045</v>
      </c>
      <c r="P193" s="7">
        <v>494.492</v>
      </c>
      <c r="Q193" s="7">
        <v>495.867</v>
      </c>
    </row>
    <row r="194" spans="1:17" ht="15.75">
      <c r="A194" s="91" t="s">
        <v>188</v>
      </c>
      <c r="B194" s="3">
        <v>155</v>
      </c>
      <c r="C194" s="7">
        <v>517.314</v>
      </c>
      <c r="D194" s="7">
        <v>520.619</v>
      </c>
      <c r="E194" s="7">
        <v>590.795</v>
      </c>
      <c r="F194" s="7">
        <v>589.758</v>
      </c>
      <c r="G194" s="7">
        <v>607.719</v>
      </c>
      <c r="H194" s="7">
        <v>387.76</v>
      </c>
      <c r="I194" s="7"/>
      <c r="J194" s="7">
        <v>502.314</v>
      </c>
      <c r="K194" s="7">
        <v>343.157</v>
      </c>
      <c r="L194" s="7">
        <v>250.857</v>
      </c>
      <c r="M194" s="7">
        <v>339.378</v>
      </c>
      <c r="N194" s="7">
        <v>607.719</v>
      </c>
      <c r="O194" s="7">
        <v>634.909</v>
      </c>
      <c r="P194" s="7">
        <v>511.144</v>
      </c>
      <c r="Q194" s="7">
        <v>512.526</v>
      </c>
    </row>
    <row r="195" spans="1:17" ht="15.75">
      <c r="A195" s="91" t="s">
        <v>189</v>
      </c>
      <c r="B195" s="3">
        <v>167</v>
      </c>
      <c r="C195" s="7">
        <v>517.314</v>
      </c>
      <c r="D195" s="7">
        <v>520.619</v>
      </c>
      <c r="E195" s="7">
        <v>590.795</v>
      </c>
      <c r="F195" s="7">
        <v>589.758</v>
      </c>
      <c r="G195" s="7">
        <v>607.719</v>
      </c>
      <c r="H195" s="7">
        <v>387.76</v>
      </c>
      <c r="I195" s="7"/>
      <c r="J195" s="7">
        <v>502.314</v>
      </c>
      <c r="K195" s="7">
        <v>343.157</v>
      </c>
      <c r="L195" s="7">
        <v>250.857</v>
      </c>
      <c r="M195" s="7">
        <v>339.381</v>
      </c>
      <c r="N195" s="7">
        <v>607.719</v>
      </c>
      <c r="O195" s="7">
        <v>634.909</v>
      </c>
      <c r="P195" s="7">
        <v>511.144</v>
      </c>
      <c r="Q195" s="7">
        <v>512.526</v>
      </c>
    </row>
    <row r="196" spans="1:17" ht="15.75">
      <c r="A196" s="91" t="s">
        <v>191</v>
      </c>
      <c r="B196" s="3">
        <v>175</v>
      </c>
      <c r="C196" s="7">
        <v>512.58</v>
      </c>
      <c r="D196" s="7">
        <v>519.416</v>
      </c>
      <c r="E196" s="7">
        <v>587.871</v>
      </c>
      <c r="F196" s="7">
        <v>586.768</v>
      </c>
      <c r="G196" s="7">
        <v>607.202</v>
      </c>
      <c r="H196" s="7">
        <v>426.778</v>
      </c>
      <c r="I196" s="7"/>
      <c r="J196" s="7">
        <v>517.126</v>
      </c>
      <c r="K196" s="7">
        <v>427.802</v>
      </c>
      <c r="L196" s="7">
        <v>303.201</v>
      </c>
      <c r="M196" s="7">
        <v>328.451</v>
      </c>
      <c r="N196" s="7">
        <v>607.202</v>
      </c>
      <c r="O196" s="7">
        <v>643.9</v>
      </c>
      <c r="P196" s="7">
        <v>506.515</v>
      </c>
      <c r="Q196" s="7">
        <v>507.985</v>
      </c>
    </row>
    <row r="197" spans="1:17" ht="15.75">
      <c r="A197" s="91" t="s">
        <v>193</v>
      </c>
      <c r="B197" s="3">
        <v>197</v>
      </c>
      <c r="C197" s="7">
        <v>499.491</v>
      </c>
      <c r="D197" s="7">
        <v>506.119</v>
      </c>
      <c r="E197" s="7">
        <v>512.053</v>
      </c>
      <c r="F197" s="7">
        <v>510.947</v>
      </c>
      <c r="G197" s="7">
        <v>540.745</v>
      </c>
      <c r="H197" s="7">
        <v>383.59</v>
      </c>
      <c r="I197" s="7"/>
      <c r="J197" s="7">
        <v>455.2</v>
      </c>
      <c r="K197" s="7">
        <v>511.671</v>
      </c>
      <c r="L197" s="7">
        <v>347.479</v>
      </c>
      <c r="M197" s="7">
        <v>311.512</v>
      </c>
      <c r="N197" s="7">
        <v>540.745</v>
      </c>
      <c r="O197" s="7">
        <v>629.546</v>
      </c>
      <c r="P197" s="7">
        <v>493.197</v>
      </c>
      <c r="Q197" s="7">
        <v>494.674</v>
      </c>
    </row>
    <row r="198" spans="1:17" ht="15.75">
      <c r="A198" s="91" t="s">
        <v>196</v>
      </c>
      <c r="B198" s="3">
        <v>214</v>
      </c>
      <c r="C198" s="7">
        <v>452.436</v>
      </c>
      <c r="D198" s="7">
        <v>466.757</v>
      </c>
      <c r="E198" s="7">
        <v>466.746</v>
      </c>
      <c r="F198" s="7">
        <v>465.638</v>
      </c>
      <c r="G198" s="7">
        <v>520.928</v>
      </c>
      <c r="H198" s="7">
        <v>332.518</v>
      </c>
      <c r="I198" s="7"/>
      <c r="J198" s="7">
        <v>407.433</v>
      </c>
      <c r="K198" s="7">
        <v>433.044</v>
      </c>
      <c r="L198" s="7">
        <v>297.895</v>
      </c>
      <c r="M198" s="8">
        <v>280.801</v>
      </c>
      <c r="N198" s="7">
        <v>520.928</v>
      </c>
      <c r="O198" s="7">
        <v>596.064</v>
      </c>
      <c r="P198" s="7">
        <v>440.25</v>
      </c>
      <c r="Q198" s="7">
        <v>441.727</v>
      </c>
    </row>
    <row r="199" spans="1:17" ht="15.75">
      <c r="A199" s="91" t="s">
        <v>198</v>
      </c>
      <c r="B199" s="3">
        <v>226</v>
      </c>
      <c r="C199" s="7">
        <v>452.436</v>
      </c>
      <c r="D199" s="7">
        <v>466.757</v>
      </c>
      <c r="E199" s="7">
        <v>466.746</v>
      </c>
      <c r="F199" s="7">
        <v>465.638</v>
      </c>
      <c r="G199" s="7">
        <v>520.928</v>
      </c>
      <c r="H199" s="7">
        <v>332.518</v>
      </c>
      <c r="I199" s="7"/>
      <c r="J199" s="7">
        <v>407.433</v>
      </c>
      <c r="K199" s="7">
        <v>433.044</v>
      </c>
      <c r="L199" s="7">
        <v>297.895</v>
      </c>
      <c r="M199" s="7">
        <v>280.801</v>
      </c>
      <c r="N199" s="7">
        <v>520.928</v>
      </c>
      <c r="O199" s="7">
        <v>596.064</v>
      </c>
      <c r="P199" s="7">
        <v>440.25</v>
      </c>
      <c r="Q199" s="7">
        <v>441.727</v>
      </c>
    </row>
    <row r="200" spans="1:17" ht="15.75">
      <c r="A200" s="91" t="s">
        <v>199</v>
      </c>
      <c r="B200" s="3">
        <v>227</v>
      </c>
      <c r="C200" s="7">
        <v>406.338</v>
      </c>
      <c r="D200" s="7">
        <v>414.694</v>
      </c>
      <c r="E200" s="7">
        <v>463.347</v>
      </c>
      <c r="F200" s="7">
        <v>462.075</v>
      </c>
      <c r="G200" s="7">
        <v>476.56</v>
      </c>
      <c r="H200" s="7">
        <v>310.195</v>
      </c>
      <c r="I200" s="7"/>
      <c r="J200" s="7">
        <v>389.278</v>
      </c>
      <c r="K200" s="7">
        <v>390.289</v>
      </c>
      <c r="L200" s="7">
        <v>245.594</v>
      </c>
      <c r="M200" s="7">
        <v>244.865</v>
      </c>
      <c r="N200" s="7">
        <v>487.52</v>
      </c>
      <c r="O200" s="7">
        <v>435.525</v>
      </c>
      <c r="P200" s="7">
        <v>387.086</v>
      </c>
      <c r="Q200" s="7">
        <v>388.782</v>
      </c>
    </row>
    <row r="201" spans="1:17" ht="15.75">
      <c r="A201" s="91" t="s">
        <v>202</v>
      </c>
      <c r="B201" s="3">
        <v>240</v>
      </c>
      <c r="C201" s="7">
        <v>256.4</v>
      </c>
      <c r="D201" s="7">
        <v>262.798</v>
      </c>
      <c r="E201" s="7">
        <v>377.085</v>
      </c>
      <c r="F201" s="7">
        <v>375.66</v>
      </c>
      <c r="G201" s="7">
        <v>384.177</v>
      </c>
      <c r="H201" s="7">
        <v>163.702</v>
      </c>
      <c r="I201" s="7"/>
      <c r="J201" s="7">
        <v>277.067</v>
      </c>
      <c r="K201" s="7">
        <v>297</v>
      </c>
      <c r="L201" s="7">
        <v>173.818</v>
      </c>
      <c r="M201" s="7">
        <v>165.745</v>
      </c>
      <c r="N201" s="7">
        <v>487.52</v>
      </c>
      <c r="O201" s="7">
        <v>291.141</v>
      </c>
      <c r="P201" s="7">
        <v>242.362</v>
      </c>
      <c r="Q201" s="7">
        <v>244.262</v>
      </c>
    </row>
    <row r="202" spans="1:17" ht="15.75">
      <c r="A202" s="91" t="s">
        <v>204</v>
      </c>
      <c r="B202" s="3">
        <v>12</v>
      </c>
      <c r="C202" s="7">
        <v>190.789</v>
      </c>
      <c r="D202" s="7">
        <v>190.466</v>
      </c>
      <c r="E202" s="7">
        <v>281.541</v>
      </c>
      <c r="F202" s="7">
        <v>280.023</v>
      </c>
      <c r="G202" s="7">
        <v>288.29</v>
      </c>
      <c r="H202" s="7">
        <v>149.493</v>
      </c>
      <c r="I202" s="7"/>
      <c r="J202" s="7">
        <v>222.702</v>
      </c>
      <c r="K202" s="7">
        <v>242.776</v>
      </c>
      <c r="L202" s="7">
        <v>146.63</v>
      </c>
      <c r="M202" s="7">
        <v>116.842</v>
      </c>
      <c r="N202" s="7">
        <v>293.74</v>
      </c>
      <c r="O202" s="7">
        <v>449.369</v>
      </c>
      <c r="P202" s="7">
        <v>163.654</v>
      </c>
      <c r="Q202" s="7">
        <v>165.678</v>
      </c>
    </row>
    <row r="203" spans="1:17" ht="15.75">
      <c r="A203" s="91" t="s">
        <v>205</v>
      </c>
      <c r="B203" s="3">
        <v>30</v>
      </c>
      <c r="C203" s="7">
        <v>208.554</v>
      </c>
      <c r="D203" s="7">
        <v>205.946</v>
      </c>
      <c r="E203" s="7">
        <v>284.689</v>
      </c>
      <c r="F203" s="7">
        <v>283.21</v>
      </c>
      <c r="G203" s="7">
        <v>299.353</v>
      </c>
      <c r="H203" s="7">
        <v>151.896</v>
      </c>
      <c r="I203" s="7"/>
      <c r="J203" s="7">
        <v>225.565</v>
      </c>
      <c r="K203" s="7">
        <v>213.655</v>
      </c>
      <c r="L203" s="7">
        <v>136.656</v>
      </c>
      <c r="M203" s="7">
        <v>137.747</v>
      </c>
      <c r="N203" s="7">
        <v>304.803</v>
      </c>
      <c r="O203" s="7">
        <v>436.776</v>
      </c>
      <c r="P203" s="7">
        <v>186.921</v>
      </c>
      <c r="Q203" s="7">
        <v>188.4</v>
      </c>
    </row>
    <row r="204" spans="1:17" ht="15.75">
      <c r="A204" s="91" t="s">
        <v>206</v>
      </c>
      <c r="B204" s="3">
        <v>36</v>
      </c>
      <c r="C204" s="7">
        <v>208.554</v>
      </c>
      <c r="D204" s="7">
        <v>205.946</v>
      </c>
      <c r="E204" s="7">
        <v>284.689</v>
      </c>
      <c r="F204" s="7">
        <v>283.21</v>
      </c>
      <c r="G204" s="7">
        <v>299.353</v>
      </c>
      <c r="H204" s="7">
        <v>151.896</v>
      </c>
      <c r="I204" s="7"/>
      <c r="J204" s="7">
        <v>225.565</v>
      </c>
      <c r="K204" s="7">
        <v>213.655</v>
      </c>
      <c r="L204" s="7">
        <v>136.656</v>
      </c>
      <c r="M204" s="7">
        <v>137.747</v>
      </c>
      <c r="N204" s="7">
        <v>304.803</v>
      </c>
      <c r="O204" s="7">
        <v>436.776</v>
      </c>
      <c r="P204" s="7">
        <v>186.921</v>
      </c>
      <c r="Q204" s="7">
        <v>188.4</v>
      </c>
    </row>
    <row r="205" spans="1:17" ht="15.75">
      <c r="A205" s="91" t="s">
        <v>207</v>
      </c>
      <c r="B205" s="3">
        <v>55</v>
      </c>
      <c r="C205" s="7">
        <v>253.448</v>
      </c>
      <c r="D205" s="7">
        <v>257.737</v>
      </c>
      <c r="E205" s="7">
        <v>267.854</v>
      </c>
      <c r="F205" s="7">
        <v>263.257</v>
      </c>
      <c r="G205" s="7">
        <v>264.048</v>
      </c>
      <c r="H205" s="7">
        <v>198.548</v>
      </c>
      <c r="I205" s="7"/>
      <c r="J205" s="7">
        <v>232.996</v>
      </c>
      <c r="K205" s="7">
        <v>201.477</v>
      </c>
      <c r="L205" s="7">
        <v>129.332</v>
      </c>
      <c r="M205" s="7">
        <v>150.438</v>
      </c>
      <c r="N205" s="7">
        <v>269.498</v>
      </c>
      <c r="O205" s="7">
        <v>486.687</v>
      </c>
      <c r="P205" s="7">
        <v>240.271</v>
      </c>
      <c r="Q205" s="7">
        <v>242.253</v>
      </c>
    </row>
    <row r="206" spans="1:17" ht="15.75">
      <c r="A206" s="91" t="s">
        <v>208</v>
      </c>
      <c r="B206" s="3">
        <v>71</v>
      </c>
      <c r="C206" s="7">
        <v>253.199</v>
      </c>
      <c r="D206" s="7">
        <v>255.193</v>
      </c>
      <c r="E206" s="7">
        <v>238.518</v>
      </c>
      <c r="F206" s="7">
        <v>236.205</v>
      </c>
      <c r="G206" s="7">
        <v>239.441</v>
      </c>
      <c r="H206" s="7">
        <v>177.282</v>
      </c>
      <c r="I206" s="7"/>
      <c r="J206" s="7">
        <v>208.326</v>
      </c>
      <c r="K206" s="7">
        <v>201.614</v>
      </c>
      <c r="L206" s="7">
        <v>127.154</v>
      </c>
      <c r="M206" s="7">
        <v>133.303</v>
      </c>
      <c r="N206" s="7">
        <v>244.891</v>
      </c>
      <c r="O206" s="7">
        <v>496.584</v>
      </c>
      <c r="P206" s="7">
        <v>239.174</v>
      </c>
      <c r="Q206" s="7">
        <v>241.195</v>
      </c>
    </row>
    <row r="207" spans="1:17" ht="15.75">
      <c r="A207" s="91" t="s">
        <v>209</v>
      </c>
      <c r="B207" s="3">
        <v>98</v>
      </c>
      <c r="C207" s="7">
        <v>212.621</v>
      </c>
      <c r="D207" s="7">
        <v>221.321</v>
      </c>
      <c r="E207" s="7">
        <v>205.871</v>
      </c>
      <c r="F207" s="7">
        <v>203.71</v>
      </c>
      <c r="G207" s="7">
        <v>223.698</v>
      </c>
      <c r="H207" s="7">
        <v>164.216</v>
      </c>
      <c r="I207" s="7"/>
      <c r="J207" s="7">
        <v>194.628</v>
      </c>
      <c r="K207" s="7">
        <v>222.581</v>
      </c>
      <c r="L207" s="7">
        <v>118.95</v>
      </c>
      <c r="M207" s="7">
        <v>111.843</v>
      </c>
      <c r="N207" s="7">
        <v>190.278</v>
      </c>
      <c r="O207" s="7">
        <v>463.933</v>
      </c>
      <c r="P207" s="7">
        <v>223.448</v>
      </c>
      <c r="Q207" s="7">
        <v>225.337</v>
      </c>
    </row>
    <row r="208" spans="1:17" ht="15.75">
      <c r="A208" s="91" t="s">
        <v>210</v>
      </c>
      <c r="B208" s="3">
        <v>113</v>
      </c>
      <c r="C208" s="7">
        <v>250.042</v>
      </c>
      <c r="D208" s="7">
        <v>261.835</v>
      </c>
      <c r="E208" s="7">
        <v>252.008</v>
      </c>
      <c r="F208" s="7">
        <v>243.957</v>
      </c>
      <c r="G208" s="7">
        <v>261.468</v>
      </c>
      <c r="H208" s="7">
        <v>212.104</v>
      </c>
      <c r="I208" s="7"/>
      <c r="J208" s="7">
        <v>236.514</v>
      </c>
      <c r="K208" s="7">
        <v>233.152</v>
      </c>
      <c r="L208" s="7">
        <v>129.33</v>
      </c>
      <c r="M208" s="7">
        <v>120.136</v>
      </c>
      <c r="N208" s="7">
        <v>228.048</v>
      </c>
      <c r="O208" s="7">
        <v>508.527</v>
      </c>
      <c r="P208" s="7">
        <v>259.232</v>
      </c>
      <c r="Q208" s="7">
        <v>261.151</v>
      </c>
    </row>
    <row r="209" spans="1:17" ht="15.75">
      <c r="A209" s="91" t="s">
        <v>320</v>
      </c>
      <c r="B209" s="3">
        <v>137</v>
      </c>
      <c r="C209" s="7">
        <v>328.842</v>
      </c>
      <c r="D209" s="7">
        <v>339.153</v>
      </c>
      <c r="E209" s="7">
        <v>313.712</v>
      </c>
      <c r="F209" s="7">
        <v>310.538</v>
      </c>
      <c r="G209" s="7">
        <v>324.241</v>
      </c>
      <c r="H209" s="7">
        <v>246.182</v>
      </c>
      <c r="I209" s="7"/>
      <c r="J209" s="7">
        <v>287.856</v>
      </c>
      <c r="K209" s="7">
        <v>248.42</v>
      </c>
      <c r="L209" s="7">
        <v>141.945</v>
      </c>
      <c r="M209" s="7">
        <v>152.791</v>
      </c>
      <c r="N209" s="7">
        <v>291.431</v>
      </c>
      <c r="O209" s="7">
        <v>562.601</v>
      </c>
      <c r="P209" s="7">
        <v>323.168</v>
      </c>
      <c r="Q209" s="7">
        <v>325.003</v>
      </c>
    </row>
    <row r="210" spans="1:17" s="4" customFormat="1" ht="15.75">
      <c r="A210" s="91" t="s">
        <v>321</v>
      </c>
      <c r="B210" s="3">
        <v>155</v>
      </c>
      <c r="C210" s="7">
        <v>325.606</v>
      </c>
      <c r="D210" s="7">
        <v>335.151</v>
      </c>
      <c r="E210" s="7">
        <v>323.396</v>
      </c>
      <c r="F210" s="7">
        <v>312.176</v>
      </c>
      <c r="G210" s="7">
        <v>324.58</v>
      </c>
      <c r="H210" s="7">
        <v>254.832</v>
      </c>
      <c r="I210" s="7"/>
      <c r="J210" s="7">
        <v>285.816</v>
      </c>
      <c r="K210" s="7">
        <v>263.95</v>
      </c>
      <c r="L210" s="7">
        <v>171.717</v>
      </c>
      <c r="M210" s="7">
        <v>164.202</v>
      </c>
      <c r="N210" s="7">
        <v>325.19</v>
      </c>
      <c r="O210" s="7">
        <v>556.578</v>
      </c>
      <c r="P210" s="7">
        <v>312.245</v>
      </c>
      <c r="Q210" s="7">
        <v>314.115</v>
      </c>
    </row>
    <row r="211" spans="1:17" s="4" customFormat="1" ht="15.75">
      <c r="A211" s="91" t="s">
        <v>322</v>
      </c>
      <c r="B211" s="3">
        <v>181</v>
      </c>
      <c r="C211" s="7">
        <v>358.42</v>
      </c>
      <c r="D211" s="7">
        <v>369.546</v>
      </c>
      <c r="E211" s="7">
        <v>356.735</v>
      </c>
      <c r="F211" s="7">
        <v>349.326</v>
      </c>
      <c r="G211" s="7">
        <v>348.846</v>
      </c>
      <c r="H211" s="7">
        <v>273.324</v>
      </c>
      <c r="I211" s="7"/>
      <c r="J211" s="7">
        <v>314.613</v>
      </c>
      <c r="K211" s="7">
        <v>249.479</v>
      </c>
      <c r="L211" s="7">
        <v>165.311</v>
      </c>
      <c r="M211" s="7">
        <v>180.517</v>
      </c>
      <c r="N211" s="7">
        <v>349.456</v>
      </c>
      <c r="O211" s="7">
        <v>570.097</v>
      </c>
      <c r="P211" s="7">
        <v>346.933</v>
      </c>
      <c r="Q211" s="7">
        <v>348.77</v>
      </c>
    </row>
    <row r="212" spans="1:17" s="4" customFormat="1" ht="15.75">
      <c r="A212" s="91" t="s">
        <v>323</v>
      </c>
      <c r="B212" s="3">
        <v>195</v>
      </c>
      <c r="C212" s="7">
        <v>335.146</v>
      </c>
      <c r="D212" s="7">
        <v>343.357</v>
      </c>
      <c r="E212" s="7">
        <v>335.5</v>
      </c>
      <c r="F212" s="7">
        <v>330.384</v>
      </c>
      <c r="G212" s="7">
        <v>327.209</v>
      </c>
      <c r="H212" s="7">
        <v>278.899</v>
      </c>
      <c r="I212" s="7"/>
      <c r="J212" s="7">
        <v>306.647</v>
      </c>
      <c r="K212" s="7">
        <v>247.171</v>
      </c>
      <c r="L212" s="7">
        <v>164.527</v>
      </c>
      <c r="M212" s="7">
        <v>193.821</v>
      </c>
      <c r="N212" s="7">
        <v>327.819</v>
      </c>
      <c r="O212" s="7">
        <v>559.709</v>
      </c>
      <c r="P212" s="7">
        <v>308.748</v>
      </c>
      <c r="Q212" s="7">
        <v>310.596</v>
      </c>
    </row>
    <row r="213" spans="1:17" s="4" customFormat="1" ht="15.75">
      <c r="A213" s="91" t="s">
        <v>324</v>
      </c>
      <c r="B213" s="3">
        <v>215</v>
      </c>
      <c r="C213" s="7">
        <v>320.978</v>
      </c>
      <c r="D213" s="7">
        <v>329.584</v>
      </c>
      <c r="E213" s="7">
        <v>337.316</v>
      </c>
      <c r="F213" s="7">
        <v>332.532</v>
      </c>
      <c r="G213" s="7">
        <v>330.047</v>
      </c>
      <c r="H213" s="7">
        <v>267.118</v>
      </c>
      <c r="I213" s="7"/>
      <c r="J213" s="7">
        <v>302.559</v>
      </c>
      <c r="K213" s="7">
        <v>249.701</v>
      </c>
      <c r="L213" s="7">
        <v>164.87</v>
      </c>
      <c r="M213" s="7">
        <v>193.415</v>
      </c>
      <c r="N213" s="7">
        <v>330.657</v>
      </c>
      <c r="O213" s="7">
        <v>543.06</v>
      </c>
      <c r="P213" s="7">
        <v>300.583</v>
      </c>
      <c r="Q213" s="7">
        <v>302.451</v>
      </c>
    </row>
    <row r="214" spans="1:17" s="4" customFormat="1" ht="15.75">
      <c r="A214" s="91" t="s">
        <v>326</v>
      </c>
      <c r="B214" s="3">
        <v>241</v>
      </c>
      <c r="C214" s="7">
        <v>346.413</v>
      </c>
      <c r="D214" s="7">
        <v>353.578</v>
      </c>
      <c r="E214" s="7">
        <v>360.729</v>
      </c>
      <c r="F214" s="7">
        <v>358.872</v>
      </c>
      <c r="G214" s="7">
        <v>353.751</v>
      </c>
      <c r="H214" s="7">
        <v>290.498</v>
      </c>
      <c r="I214" s="7"/>
      <c r="J214" s="7">
        <v>327.574</v>
      </c>
      <c r="K214" s="7">
        <v>257.46</v>
      </c>
      <c r="L214" s="7">
        <v>171.335</v>
      </c>
      <c r="M214" s="7">
        <v>210.395</v>
      </c>
      <c r="N214" s="7">
        <v>354.361</v>
      </c>
      <c r="O214" s="7">
        <v>556.881</v>
      </c>
      <c r="P214" s="7">
        <v>330.143</v>
      </c>
      <c r="Q214" s="7">
        <v>331.911</v>
      </c>
    </row>
    <row r="215" spans="1:17" s="4" customFormat="1" ht="15.75">
      <c r="A215" s="91" t="s">
        <v>328</v>
      </c>
      <c r="B215" s="3">
        <v>32</v>
      </c>
      <c r="C215" s="7">
        <v>370.863</v>
      </c>
      <c r="D215" s="7">
        <v>390.283</v>
      </c>
      <c r="E215" s="7">
        <v>382.341</v>
      </c>
      <c r="F215" s="7">
        <v>380.182</v>
      </c>
      <c r="G215" s="7">
        <v>378.518</v>
      </c>
      <c r="H215" s="7">
        <v>288.981</v>
      </c>
      <c r="I215" s="7"/>
      <c r="J215" s="7">
        <v>344.277</v>
      </c>
      <c r="K215" s="7">
        <v>279.82</v>
      </c>
      <c r="L215" s="7">
        <v>189.89</v>
      </c>
      <c r="M215" s="7">
        <v>270.684</v>
      </c>
      <c r="N215" s="7">
        <v>383.818</v>
      </c>
      <c r="O215" s="7">
        <v>573.425</v>
      </c>
      <c r="P215" s="7">
        <v>361.687</v>
      </c>
      <c r="Q215" s="7">
        <v>363.47</v>
      </c>
    </row>
    <row r="216" spans="1:17" s="4" customFormat="1" ht="15.75">
      <c r="A216" s="91" t="s">
        <v>330</v>
      </c>
      <c r="B216" s="3">
        <v>53</v>
      </c>
      <c r="C216" s="7">
        <v>337.544</v>
      </c>
      <c r="D216" s="7">
        <v>356.443</v>
      </c>
      <c r="E216" s="7">
        <v>342.193</v>
      </c>
      <c r="F216" s="7">
        <v>336.929</v>
      </c>
      <c r="G216" s="7">
        <v>338.119</v>
      </c>
      <c r="H216" s="7">
        <v>263.259</v>
      </c>
      <c r="I216" s="7"/>
      <c r="J216" s="7">
        <v>308.873</v>
      </c>
      <c r="K216" s="7">
        <v>291.061</v>
      </c>
      <c r="L216" s="7">
        <v>193.606</v>
      </c>
      <c r="M216" s="7">
        <v>255.633</v>
      </c>
      <c r="N216" s="7">
        <v>343.419</v>
      </c>
      <c r="O216" s="7">
        <v>572.366</v>
      </c>
      <c r="P216" s="7">
        <v>323.728</v>
      </c>
      <c r="Q216" s="7">
        <v>325.464</v>
      </c>
    </row>
    <row r="217" spans="1:17" s="4" customFormat="1" ht="15.75">
      <c r="A217" s="91" t="s">
        <v>332</v>
      </c>
      <c r="B217" s="3">
        <v>75</v>
      </c>
      <c r="C217" s="7">
        <v>368.749</v>
      </c>
      <c r="D217" s="7">
        <v>391.648</v>
      </c>
      <c r="E217" s="7">
        <v>351.903</v>
      </c>
      <c r="F217" s="7">
        <v>361.733</v>
      </c>
      <c r="G217" s="7">
        <v>356.188</v>
      </c>
      <c r="H217" s="7">
        <v>266.045</v>
      </c>
      <c r="I217" s="7"/>
      <c r="J217" s="7">
        <v>318.39</v>
      </c>
      <c r="K217" s="7">
        <v>290.925</v>
      </c>
      <c r="L217" s="7">
        <v>193.784</v>
      </c>
      <c r="M217" s="7">
        <v>233.517</v>
      </c>
      <c r="N217" s="7">
        <v>361.488</v>
      </c>
      <c r="O217" s="7">
        <v>593.206</v>
      </c>
      <c r="P217" s="7">
        <v>351.011</v>
      </c>
      <c r="Q217" s="7">
        <v>352.711</v>
      </c>
    </row>
    <row r="218" spans="1:17" s="4" customFormat="1" ht="15.75">
      <c r="A218" s="91" t="s">
        <v>333</v>
      </c>
      <c r="B218" s="3">
        <v>86</v>
      </c>
      <c r="C218" s="7">
        <v>358.985</v>
      </c>
      <c r="D218" s="7">
        <v>381.179</v>
      </c>
      <c r="E218" s="7">
        <v>361.964</v>
      </c>
      <c r="F218" s="7">
        <v>354.951</v>
      </c>
      <c r="G218" s="7">
        <v>358.802</v>
      </c>
      <c r="H218" s="7">
        <v>254.613</v>
      </c>
      <c r="I218" s="7"/>
      <c r="J218" s="7">
        <v>314.955</v>
      </c>
      <c r="K218" s="7">
        <v>281.346</v>
      </c>
      <c r="L218" s="7">
        <v>187.388</v>
      </c>
      <c r="M218" s="7">
        <v>216.854</v>
      </c>
      <c r="N218" s="7">
        <v>364.102</v>
      </c>
      <c r="O218" s="7">
        <v>579.483</v>
      </c>
      <c r="P218" s="7">
        <v>336.745</v>
      </c>
      <c r="Q218" s="7">
        <v>338.37</v>
      </c>
    </row>
    <row r="219" spans="1:17" s="4" customFormat="1" ht="15.75">
      <c r="A219" s="91" t="s">
        <v>335</v>
      </c>
      <c r="B219" s="3">
        <v>98</v>
      </c>
      <c r="C219" s="7">
        <v>358.985</v>
      </c>
      <c r="D219" s="7">
        <v>381.179</v>
      </c>
      <c r="E219" s="7">
        <v>361.964</v>
      </c>
      <c r="F219" s="7">
        <v>354.951</v>
      </c>
      <c r="G219" s="7">
        <v>358.802</v>
      </c>
      <c r="H219" s="7">
        <v>254.613</v>
      </c>
      <c r="I219" s="7"/>
      <c r="J219" s="7">
        <v>314.955</v>
      </c>
      <c r="K219" s="7">
        <v>281.346</v>
      </c>
      <c r="L219" s="7">
        <v>187.388</v>
      </c>
      <c r="M219" s="7">
        <v>216.854</v>
      </c>
      <c r="N219" s="7">
        <v>364.102</v>
      </c>
      <c r="O219" s="7">
        <v>579.483</v>
      </c>
      <c r="P219" s="7">
        <v>336.745</v>
      </c>
      <c r="Q219" s="7">
        <v>338.37</v>
      </c>
    </row>
    <row r="220" spans="1:17" ht="15.75">
      <c r="A220" s="91" t="s">
        <v>337</v>
      </c>
      <c r="B220" s="3">
        <v>115</v>
      </c>
      <c r="C220" s="7">
        <v>353.185</v>
      </c>
      <c r="D220" s="7">
        <v>376.085</v>
      </c>
      <c r="E220" s="7">
        <v>363.442</v>
      </c>
      <c r="F220" s="7">
        <v>354.13</v>
      </c>
      <c r="G220" s="7">
        <v>356.451</v>
      </c>
      <c r="H220" s="7">
        <v>255.159</v>
      </c>
      <c r="I220" s="7"/>
      <c r="J220" s="7">
        <v>314.746</v>
      </c>
      <c r="K220" s="7">
        <v>271.449</v>
      </c>
      <c r="L220" s="7">
        <v>181.905</v>
      </c>
      <c r="M220" s="7">
        <v>218.485</v>
      </c>
      <c r="N220" s="7">
        <v>361.751</v>
      </c>
      <c r="O220" s="7">
        <v>576.753</v>
      </c>
      <c r="P220" s="7">
        <v>333.301</v>
      </c>
      <c r="Q220" s="7">
        <v>334.92</v>
      </c>
    </row>
    <row r="221" spans="1:17" ht="15.75">
      <c r="A221" s="91" t="s">
        <v>339</v>
      </c>
      <c r="B221" s="3">
        <v>137</v>
      </c>
      <c r="C221" s="7">
        <v>329.288</v>
      </c>
      <c r="D221" s="7">
        <v>362.179</v>
      </c>
      <c r="E221" s="7">
        <v>341.081</v>
      </c>
      <c r="F221" s="7">
        <v>336.558</v>
      </c>
      <c r="G221" s="7">
        <v>342.004</v>
      </c>
      <c r="H221" s="7">
        <v>239.598</v>
      </c>
      <c r="I221" s="7"/>
      <c r="J221" s="7">
        <v>298.339</v>
      </c>
      <c r="K221" s="7">
        <v>278.152</v>
      </c>
      <c r="L221" s="7">
        <v>177.535</v>
      </c>
      <c r="M221" s="7">
        <v>225.583</v>
      </c>
      <c r="N221" s="7">
        <v>360.724</v>
      </c>
      <c r="O221" s="7">
        <v>550.989</v>
      </c>
      <c r="P221" s="7">
        <v>325.036</v>
      </c>
      <c r="Q221" s="7">
        <v>326.723</v>
      </c>
    </row>
    <row r="222" spans="1:17" ht="15.75">
      <c r="A222" s="91" t="s">
        <v>342</v>
      </c>
      <c r="B222" s="3">
        <v>156</v>
      </c>
      <c r="C222" s="7">
        <v>328.609</v>
      </c>
      <c r="D222" s="7">
        <v>345.018</v>
      </c>
      <c r="E222" s="7">
        <v>329.593</v>
      </c>
      <c r="F222" s="7">
        <v>323.278</v>
      </c>
      <c r="G222" s="7">
        <v>333.807</v>
      </c>
      <c r="H222" s="7">
        <v>256.704</v>
      </c>
      <c r="I222" s="7"/>
      <c r="J222" s="7">
        <v>293.737</v>
      </c>
      <c r="K222" s="7">
        <v>258.394</v>
      </c>
      <c r="L222" s="7">
        <v>161.428</v>
      </c>
      <c r="M222" s="7">
        <v>192.115</v>
      </c>
      <c r="N222" s="7">
        <v>347.227</v>
      </c>
      <c r="O222" s="7">
        <v>542.149</v>
      </c>
      <c r="P222" s="7">
        <v>318.483</v>
      </c>
      <c r="Q222" s="7">
        <v>320.142</v>
      </c>
    </row>
    <row r="223" spans="1:17" ht="15.75">
      <c r="A223" s="91" t="s">
        <v>344</v>
      </c>
      <c r="B223" s="3">
        <v>159</v>
      </c>
      <c r="C223" s="7">
        <v>328.609</v>
      </c>
      <c r="D223" s="7">
        <v>345.018</v>
      </c>
      <c r="E223" s="7">
        <v>329.593</v>
      </c>
      <c r="F223" s="7">
        <v>323.278</v>
      </c>
      <c r="G223" s="7">
        <v>333.807</v>
      </c>
      <c r="H223" s="7">
        <v>256.704</v>
      </c>
      <c r="I223" s="7"/>
      <c r="J223" s="7">
        <v>293.737</v>
      </c>
      <c r="K223" s="7">
        <v>258.394</v>
      </c>
      <c r="L223" s="7">
        <v>161.428</v>
      </c>
      <c r="M223" s="7">
        <v>192.115</v>
      </c>
      <c r="N223" s="7">
        <v>347.227</v>
      </c>
      <c r="O223" s="7">
        <v>542.149</v>
      </c>
      <c r="P223" s="7">
        <v>318.483</v>
      </c>
      <c r="Q223" s="7">
        <v>320.142</v>
      </c>
    </row>
    <row r="224" spans="1:17" ht="15.75">
      <c r="A224" s="91" t="s">
        <v>346</v>
      </c>
      <c r="B224" s="3">
        <v>179</v>
      </c>
      <c r="C224" s="7">
        <v>327.195</v>
      </c>
      <c r="D224" s="7">
        <v>343.318</v>
      </c>
      <c r="E224" s="7">
        <v>342.453</v>
      </c>
      <c r="F224" s="7">
        <v>332.092</v>
      </c>
      <c r="G224" s="7">
        <v>346.122</v>
      </c>
      <c r="H224" s="7">
        <v>263.714</v>
      </c>
      <c r="I224" s="7"/>
      <c r="J224" s="7">
        <v>301.744</v>
      </c>
      <c r="K224" s="7">
        <v>241.075</v>
      </c>
      <c r="L224" s="7">
        <v>152.204</v>
      </c>
      <c r="M224" s="7">
        <v>202.575</v>
      </c>
      <c r="N224" s="7">
        <v>359.542</v>
      </c>
      <c r="O224" s="7">
        <v>529.807</v>
      </c>
      <c r="P224" s="7">
        <v>310.523</v>
      </c>
      <c r="Q224" s="7">
        <v>312.143</v>
      </c>
    </row>
    <row r="225" spans="1:17" ht="15.75">
      <c r="A225" s="91" t="s">
        <v>347</v>
      </c>
      <c r="B225" s="3">
        <v>195</v>
      </c>
      <c r="C225" s="7">
        <v>314.104</v>
      </c>
      <c r="D225" s="7">
        <v>329.466</v>
      </c>
      <c r="E225" s="7">
        <v>331.604</v>
      </c>
      <c r="F225" s="7">
        <v>327.021</v>
      </c>
      <c r="G225" s="7">
        <v>334.996</v>
      </c>
      <c r="H225" s="7">
        <v>254.548</v>
      </c>
      <c r="I225" s="7"/>
      <c r="J225" s="7">
        <v>294.84</v>
      </c>
      <c r="K225" s="7">
        <v>251</v>
      </c>
      <c r="L225" s="7">
        <v>156.883</v>
      </c>
      <c r="M225" s="7">
        <v>199.438</v>
      </c>
      <c r="N225" s="7">
        <v>348.416</v>
      </c>
      <c r="O225" s="7">
        <v>523.556</v>
      </c>
      <c r="P225" s="7">
        <v>306.722</v>
      </c>
      <c r="Q225" s="7">
        <v>308.343</v>
      </c>
    </row>
    <row r="226" spans="1:17" ht="15.75">
      <c r="A226" s="91" t="s">
        <v>362</v>
      </c>
      <c r="B226" s="3">
        <v>223</v>
      </c>
      <c r="C226" s="7">
        <v>328.085</v>
      </c>
      <c r="D226" s="7">
        <v>346.027</v>
      </c>
      <c r="E226" s="7">
        <v>352.052</v>
      </c>
      <c r="F226" s="7">
        <v>348.707</v>
      </c>
      <c r="G226" s="7">
        <v>355</v>
      </c>
      <c r="H226" s="7">
        <v>266.833</v>
      </c>
      <c r="I226" s="7"/>
      <c r="J226" s="7">
        <v>312.317</v>
      </c>
      <c r="K226" s="7">
        <v>248.427</v>
      </c>
      <c r="L226" s="7">
        <v>156.598</v>
      </c>
      <c r="M226" s="7">
        <v>218.467</v>
      </c>
      <c r="N226" s="7">
        <v>368.42</v>
      </c>
      <c r="O226" s="7">
        <v>529.037</v>
      </c>
      <c r="P226" s="7">
        <v>321.288</v>
      </c>
      <c r="Q226" s="7">
        <v>322.897</v>
      </c>
    </row>
    <row r="227" spans="1:17" ht="15.75">
      <c r="A227" s="91" t="s">
        <v>364</v>
      </c>
      <c r="B227" s="3">
        <v>239</v>
      </c>
      <c r="C227" s="7">
        <v>328.085</v>
      </c>
      <c r="D227" s="7">
        <v>346.027</v>
      </c>
      <c r="E227" s="7">
        <v>352.052</v>
      </c>
      <c r="F227" s="7">
        <v>348.707</v>
      </c>
      <c r="G227" s="7">
        <v>355</v>
      </c>
      <c r="H227" s="7">
        <v>266.833</v>
      </c>
      <c r="I227" s="7"/>
      <c r="J227" s="7">
        <v>312.317</v>
      </c>
      <c r="K227" s="7">
        <v>248.427</v>
      </c>
      <c r="L227" s="7">
        <v>156.598</v>
      </c>
      <c r="M227" s="7">
        <v>218.467</v>
      </c>
      <c r="N227" s="7">
        <v>368.42</v>
      </c>
      <c r="O227" s="7">
        <v>529.037</v>
      </c>
      <c r="P227" s="7">
        <v>321.288</v>
      </c>
      <c r="Q227" s="7">
        <v>322.897</v>
      </c>
    </row>
    <row r="228" spans="1:17" ht="15.75">
      <c r="A228" s="91" t="s">
        <v>366</v>
      </c>
      <c r="B228" s="3">
        <v>246</v>
      </c>
      <c r="C228" s="7">
        <v>337.884</v>
      </c>
      <c r="D228" s="7">
        <v>356.826</v>
      </c>
      <c r="E228" s="7">
        <v>369.18</v>
      </c>
      <c r="F228" s="7">
        <v>366.469</v>
      </c>
      <c r="G228" s="7">
        <v>372.031</v>
      </c>
      <c r="H228" s="7">
        <v>278.899</v>
      </c>
      <c r="I228" s="7"/>
      <c r="J228" s="7">
        <v>327.529</v>
      </c>
      <c r="K228" s="7">
        <v>254.837</v>
      </c>
      <c r="L228" s="7">
        <v>161.279</v>
      </c>
      <c r="M228" s="7">
        <v>228.535</v>
      </c>
      <c r="N228" s="7">
        <v>385.451</v>
      </c>
      <c r="O228" s="7">
        <v>540.375</v>
      </c>
      <c r="P228" s="7">
        <v>331.424</v>
      </c>
      <c r="Q228" s="7">
        <v>333.022</v>
      </c>
    </row>
    <row r="229" spans="1:17" ht="15.75">
      <c r="A229" s="92" t="s">
        <v>367</v>
      </c>
      <c r="B229" s="3">
        <v>16</v>
      </c>
      <c r="C229" s="7">
        <v>354.583</v>
      </c>
      <c r="D229" s="7">
        <v>364.019</v>
      </c>
      <c r="E229" s="7">
        <v>371.325</v>
      </c>
      <c r="F229" s="7">
        <v>370.52</v>
      </c>
      <c r="G229" s="7">
        <v>378.674</v>
      </c>
      <c r="H229" s="7">
        <v>279.345</v>
      </c>
      <c r="I229" s="7"/>
      <c r="J229" s="7">
        <v>330.469</v>
      </c>
      <c r="K229" s="7">
        <v>252.584</v>
      </c>
      <c r="L229" s="7">
        <v>162.087</v>
      </c>
      <c r="M229" s="7">
        <v>229.321</v>
      </c>
      <c r="N229" s="7">
        <v>378.984</v>
      </c>
      <c r="O229" s="7">
        <v>552.996</v>
      </c>
      <c r="P229" s="7">
        <v>363.839</v>
      </c>
      <c r="Q229" s="7">
        <v>365.414</v>
      </c>
    </row>
    <row r="230" spans="1:17" ht="15.75">
      <c r="A230" s="91" t="s">
        <v>368</v>
      </c>
      <c r="B230" s="3">
        <v>36</v>
      </c>
      <c r="C230" s="7">
        <v>369.62</v>
      </c>
      <c r="D230" s="7">
        <v>376.154</v>
      </c>
      <c r="E230" s="7">
        <v>387.783</v>
      </c>
      <c r="F230" s="7">
        <v>386.383</v>
      </c>
      <c r="G230" s="7">
        <v>395.689</v>
      </c>
      <c r="H230" s="7">
        <v>289.095</v>
      </c>
      <c r="I230" s="7"/>
      <c r="J230" s="7">
        <v>343.595</v>
      </c>
      <c r="K230" s="7">
        <v>249.697</v>
      </c>
      <c r="L230" s="7">
        <v>161.36</v>
      </c>
      <c r="M230" s="7">
        <v>234.034</v>
      </c>
      <c r="N230" s="7">
        <v>395.999</v>
      </c>
      <c r="O230" s="7">
        <v>570.083</v>
      </c>
      <c r="P230" s="7">
        <v>367.37</v>
      </c>
      <c r="Q230" s="7">
        <v>368.927</v>
      </c>
    </row>
    <row r="231" spans="1:17" ht="15.75">
      <c r="A231" s="91" t="s">
        <v>369</v>
      </c>
      <c r="B231" s="3">
        <v>40</v>
      </c>
      <c r="C231" s="7">
        <v>369.62</v>
      </c>
      <c r="D231" s="7">
        <v>376.154</v>
      </c>
      <c r="E231" s="7">
        <v>387.783</v>
      </c>
      <c r="F231" s="7">
        <v>386.383</v>
      </c>
      <c r="G231" s="7">
        <v>395.689</v>
      </c>
      <c r="H231" s="7">
        <v>289.095</v>
      </c>
      <c r="I231" s="7"/>
      <c r="J231" s="7">
        <v>343.595</v>
      </c>
      <c r="K231" s="7">
        <v>249.697</v>
      </c>
      <c r="L231" s="7">
        <v>161.36</v>
      </c>
      <c r="M231" s="7">
        <v>234.034</v>
      </c>
      <c r="N231" s="7">
        <v>395.999</v>
      </c>
      <c r="O231" s="7">
        <v>570.083</v>
      </c>
      <c r="P231" s="7">
        <v>367.37</v>
      </c>
      <c r="Q231" s="7">
        <v>368.927</v>
      </c>
    </row>
    <row r="232" spans="1:17" ht="15.75">
      <c r="A232" s="91" t="s">
        <v>371</v>
      </c>
      <c r="B232" s="3">
        <v>59</v>
      </c>
      <c r="C232" s="7">
        <v>371.343</v>
      </c>
      <c r="D232" s="7">
        <v>378.944</v>
      </c>
      <c r="E232" s="7">
        <v>420.113</v>
      </c>
      <c r="F232" s="7">
        <v>413.455</v>
      </c>
      <c r="G232" s="7">
        <v>428.399</v>
      </c>
      <c r="H232" s="7">
        <v>308.205</v>
      </c>
      <c r="I232" s="7"/>
      <c r="J232" s="7">
        <v>367.102</v>
      </c>
      <c r="K232" s="7">
        <v>259.634</v>
      </c>
      <c r="L232" s="7">
        <v>168.654</v>
      </c>
      <c r="M232" s="7">
        <v>230.83</v>
      </c>
      <c r="N232" s="7">
        <v>428.709</v>
      </c>
      <c r="O232" s="7">
        <v>574.91</v>
      </c>
      <c r="P232" s="7">
        <v>372.263</v>
      </c>
      <c r="Q232" s="7">
        <v>373.81</v>
      </c>
    </row>
    <row r="233" spans="1:17" ht="15.75">
      <c r="A233" s="91" t="s">
        <v>372</v>
      </c>
      <c r="B233" s="3">
        <v>74</v>
      </c>
      <c r="C233" s="7">
        <v>425.218</v>
      </c>
      <c r="D233" s="7">
        <v>432.962</v>
      </c>
      <c r="E233" s="7">
        <v>458.691</v>
      </c>
      <c r="F233" s="7">
        <v>445.743</v>
      </c>
      <c r="G233" s="7">
        <v>467.624</v>
      </c>
      <c r="H233" s="7">
        <v>342.755</v>
      </c>
      <c r="I233" s="7"/>
      <c r="J233" s="7">
        <v>400.403</v>
      </c>
      <c r="K233" s="7">
        <v>292.404</v>
      </c>
      <c r="L233" s="7">
        <v>190.117</v>
      </c>
      <c r="M233" s="7">
        <v>238.523</v>
      </c>
      <c r="N233" s="7">
        <v>467.934</v>
      </c>
      <c r="O233" s="7">
        <v>614.654</v>
      </c>
      <c r="P233" s="7">
        <v>424.791</v>
      </c>
      <c r="Q233" s="7">
        <v>426.297</v>
      </c>
    </row>
    <row r="234" spans="1:17" ht="15.75">
      <c r="A234" s="91" t="s">
        <v>373</v>
      </c>
      <c r="B234" s="3">
        <v>95</v>
      </c>
      <c r="C234" s="7">
        <v>447.944</v>
      </c>
      <c r="D234" s="7">
        <v>460.701</v>
      </c>
      <c r="E234" s="7">
        <v>472.872</v>
      </c>
      <c r="F234" s="7">
        <v>460.82</v>
      </c>
      <c r="G234" s="7">
        <v>479.739</v>
      </c>
      <c r="H234" s="7">
        <v>357.642</v>
      </c>
      <c r="I234" s="7"/>
      <c r="J234" s="7">
        <v>415.395</v>
      </c>
      <c r="K234" s="7">
        <v>326.44</v>
      </c>
      <c r="L234" s="7">
        <v>210.497</v>
      </c>
      <c r="M234" s="7">
        <v>239.992</v>
      </c>
      <c r="N234" s="7">
        <v>480.049</v>
      </c>
      <c r="O234" s="7">
        <v>642.158</v>
      </c>
      <c r="P234" s="7">
        <v>443.791</v>
      </c>
      <c r="Q234" s="7">
        <v>445.844</v>
      </c>
    </row>
    <row r="235" spans="1:17" ht="15.75">
      <c r="A235" s="91" t="s">
        <v>374</v>
      </c>
      <c r="B235" s="3">
        <v>98</v>
      </c>
      <c r="C235" s="7">
        <v>447.944</v>
      </c>
      <c r="D235" s="7">
        <v>460.701</v>
      </c>
      <c r="E235" s="7">
        <v>472.872</v>
      </c>
      <c r="F235" s="7">
        <v>460.82</v>
      </c>
      <c r="G235" s="7">
        <v>479.739</v>
      </c>
      <c r="H235" s="7">
        <v>357.642</v>
      </c>
      <c r="I235" s="7"/>
      <c r="J235" s="7">
        <v>415.395</v>
      </c>
      <c r="K235" s="7">
        <v>326.44</v>
      </c>
      <c r="L235" s="7">
        <v>210.497</v>
      </c>
      <c r="M235" s="7">
        <v>239.992</v>
      </c>
      <c r="N235" s="7">
        <v>480.049</v>
      </c>
      <c r="O235" s="7">
        <v>642.158</v>
      </c>
      <c r="P235" s="7">
        <v>443.791</v>
      </c>
      <c r="Q235" s="7">
        <v>445.844</v>
      </c>
    </row>
    <row r="236" spans="1:17" ht="15.75">
      <c r="A236" s="91" t="s">
        <v>375</v>
      </c>
      <c r="B236" s="3">
        <v>112</v>
      </c>
      <c r="C236" s="7">
        <v>484.122</v>
      </c>
      <c r="D236" s="7">
        <v>489.604</v>
      </c>
      <c r="E236" s="7">
        <v>466.695</v>
      </c>
      <c r="F236" s="7">
        <v>455.391</v>
      </c>
      <c r="G236" s="8">
        <v>480.986</v>
      </c>
      <c r="H236" s="7">
        <v>351.592</v>
      </c>
      <c r="I236" s="7"/>
      <c r="J236" s="7">
        <v>409.688</v>
      </c>
      <c r="K236" s="7">
        <v>352.205</v>
      </c>
      <c r="L236" s="7">
        <v>224.355</v>
      </c>
      <c r="M236" s="7">
        <v>259.374</v>
      </c>
      <c r="N236" s="7">
        <v>481.296</v>
      </c>
      <c r="O236" s="7">
        <v>704.016</v>
      </c>
      <c r="P236" s="7">
        <v>475.058</v>
      </c>
      <c r="Q236" s="7">
        <v>476.567</v>
      </c>
    </row>
    <row r="237" spans="1:17" ht="15.75">
      <c r="A237" s="91" t="s">
        <v>376</v>
      </c>
      <c r="B237" s="3">
        <v>134</v>
      </c>
      <c r="C237" s="7">
        <v>449.17</v>
      </c>
      <c r="D237" s="7">
        <v>461.584</v>
      </c>
      <c r="E237" s="7">
        <v>493.002</v>
      </c>
      <c r="F237" s="7">
        <v>482.964</v>
      </c>
      <c r="G237" s="8">
        <v>473.972</v>
      </c>
      <c r="H237" s="7">
        <v>359.941</v>
      </c>
      <c r="I237" s="7"/>
      <c r="J237" s="7">
        <v>413.766</v>
      </c>
      <c r="K237" s="7">
        <v>332.531</v>
      </c>
      <c r="L237" s="7">
        <v>225.943</v>
      </c>
      <c r="M237" s="7">
        <v>260.065</v>
      </c>
      <c r="N237" s="7">
        <v>487.422</v>
      </c>
      <c r="O237" s="7">
        <v>704.805</v>
      </c>
      <c r="P237" s="7">
        <v>417.607</v>
      </c>
      <c r="Q237" s="7">
        <v>420.031</v>
      </c>
    </row>
    <row r="238" spans="1:17" ht="15.75">
      <c r="A238" s="91" t="s">
        <v>377</v>
      </c>
      <c r="B238" s="3">
        <v>155</v>
      </c>
      <c r="C238" s="7">
        <v>441.438</v>
      </c>
      <c r="D238" s="7">
        <v>454.864</v>
      </c>
      <c r="E238" s="7">
        <v>475.666</v>
      </c>
      <c r="F238" s="7">
        <v>463.537</v>
      </c>
      <c r="G238" s="8">
        <v>451.75</v>
      </c>
      <c r="H238" s="7">
        <v>352.76</v>
      </c>
      <c r="I238" s="7"/>
      <c r="J238" s="7">
        <v>399.821</v>
      </c>
      <c r="K238" s="7">
        <v>316.803</v>
      </c>
      <c r="L238" s="7">
        <v>216.929</v>
      </c>
      <c r="M238" s="7">
        <v>255.701</v>
      </c>
      <c r="N238" s="7">
        <v>465.2</v>
      </c>
      <c r="O238" s="7">
        <v>694.785</v>
      </c>
      <c r="P238" s="7">
        <v>397.3</v>
      </c>
      <c r="Q238" s="7">
        <v>399.437</v>
      </c>
    </row>
    <row r="239" spans="1:17" ht="15.75">
      <c r="A239" s="91" t="s">
        <v>378</v>
      </c>
      <c r="B239" s="3">
        <v>178</v>
      </c>
      <c r="C239" s="7">
        <v>441.438</v>
      </c>
      <c r="D239" s="7">
        <v>454.864</v>
      </c>
      <c r="E239" s="7">
        <v>475.666</v>
      </c>
      <c r="F239" s="7">
        <v>463.537</v>
      </c>
      <c r="G239" s="8">
        <v>451.75</v>
      </c>
      <c r="H239" s="7">
        <v>352.76</v>
      </c>
      <c r="I239" s="7"/>
      <c r="J239" s="7">
        <v>399.821</v>
      </c>
      <c r="K239" s="7">
        <v>316.803</v>
      </c>
      <c r="L239" s="7">
        <v>216.929</v>
      </c>
      <c r="M239" s="7">
        <v>255.701</v>
      </c>
      <c r="N239" s="7">
        <v>465.2</v>
      </c>
      <c r="O239" s="7">
        <v>694.785</v>
      </c>
      <c r="P239" s="7">
        <v>397.3</v>
      </c>
      <c r="Q239" s="7">
        <v>399.437</v>
      </c>
    </row>
    <row r="240" spans="1:17" ht="15.75">
      <c r="A240" s="91" t="s">
        <v>379</v>
      </c>
      <c r="B240" s="3">
        <v>181</v>
      </c>
      <c r="C240" s="7">
        <v>396.613</v>
      </c>
      <c r="D240" s="7">
        <v>410.917</v>
      </c>
      <c r="E240" s="7">
        <v>436.121</v>
      </c>
      <c r="F240" s="7">
        <v>399.528</v>
      </c>
      <c r="G240" s="8">
        <v>417.081</v>
      </c>
      <c r="H240" s="7">
        <v>319.559</v>
      </c>
      <c r="I240" s="7"/>
      <c r="J240" s="7">
        <v>366.132</v>
      </c>
      <c r="K240" s="7">
        <v>269.438</v>
      </c>
      <c r="L240" s="7">
        <v>186.243</v>
      </c>
      <c r="M240" s="7">
        <v>237.809</v>
      </c>
      <c r="N240" s="7">
        <v>429.217</v>
      </c>
      <c r="O240" s="7">
        <v>615.2867</v>
      </c>
      <c r="P240" s="7">
        <v>356.676</v>
      </c>
      <c r="Q240" s="7">
        <v>360.556</v>
      </c>
    </row>
    <row r="241" spans="1:17" ht="15.75">
      <c r="A241" s="91" t="s">
        <v>380</v>
      </c>
      <c r="B241" s="3">
        <v>248</v>
      </c>
      <c r="C241" s="7">
        <v>380.695</v>
      </c>
      <c r="D241" s="7">
        <v>392.294</v>
      </c>
      <c r="E241" s="7">
        <v>452.978</v>
      </c>
      <c r="F241" s="7">
        <v>420.719</v>
      </c>
      <c r="G241" s="8">
        <v>428.86</v>
      </c>
      <c r="H241" s="7">
        <v>337.788</v>
      </c>
      <c r="I241" s="7"/>
      <c r="J241" s="7">
        <v>385.975</v>
      </c>
      <c r="K241" s="7">
        <v>273.457</v>
      </c>
      <c r="L241" s="7">
        <v>191.148</v>
      </c>
      <c r="M241" s="7">
        <v>232.091</v>
      </c>
      <c r="N241" s="7">
        <v>440.995</v>
      </c>
      <c r="O241" s="7">
        <v>596.066</v>
      </c>
      <c r="P241" s="7">
        <v>351.502</v>
      </c>
      <c r="Q241" s="7">
        <v>359.042</v>
      </c>
    </row>
    <row r="242" spans="1:17" s="4" customFormat="1" ht="15.75">
      <c r="A242" s="91" t="s">
        <v>382</v>
      </c>
      <c r="B242" s="3">
        <v>23</v>
      </c>
      <c r="C242" s="7">
        <v>346.373</v>
      </c>
      <c r="D242" s="7">
        <v>351.746</v>
      </c>
      <c r="E242" s="7">
        <v>403.705</v>
      </c>
      <c r="F242" s="7">
        <v>383.968</v>
      </c>
      <c r="G242" s="7">
        <v>408.055</v>
      </c>
      <c r="H242" s="7">
        <v>323.676</v>
      </c>
      <c r="I242" s="7"/>
      <c r="J242" s="7">
        <v>366.305</v>
      </c>
      <c r="K242" s="7">
        <v>298.881</v>
      </c>
      <c r="L242" s="7">
        <v>404.28</v>
      </c>
      <c r="M242" s="7">
        <v>229.284</v>
      </c>
      <c r="N242" s="7">
        <v>404.28</v>
      </c>
      <c r="O242" s="7">
        <v>485.086</v>
      </c>
      <c r="P242" s="7">
        <v>347.953</v>
      </c>
      <c r="Q242" s="7">
        <v>349.997</v>
      </c>
    </row>
    <row r="243" spans="1:17" s="4" customFormat="1" ht="15.75">
      <c r="A243" s="91" t="s">
        <v>383</v>
      </c>
      <c r="B243" s="3">
        <v>58</v>
      </c>
      <c r="C243" s="7">
        <v>448.945</v>
      </c>
      <c r="D243" s="7">
        <v>457.504</v>
      </c>
      <c r="E243" s="7">
        <v>472.32</v>
      </c>
      <c r="F243" s="7">
        <v>453.754</v>
      </c>
      <c r="G243" s="7">
        <v>482.011</v>
      </c>
      <c r="H243" s="7">
        <v>391.831</v>
      </c>
      <c r="I243" s="7"/>
      <c r="J243" s="7">
        <v>433.348</v>
      </c>
      <c r="K243" s="7">
        <v>332.344</v>
      </c>
      <c r="L243" s="7">
        <v>221.61</v>
      </c>
      <c r="M243" s="7">
        <v>236.054</v>
      </c>
      <c r="N243" s="7">
        <v>479.551</v>
      </c>
      <c r="O243" s="7">
        <v>590.913</v>
      </c>
      <c r="P243" s="7">
        <v>440.37</v>
      </c>
      <c r="Q243" s="7">
        <v>442.88</v>
      </c>
    </row>
    <row r="244" spans="1:17" s="4" customFormat="1" ht="15.75">
      <c r="A244" s="91" t="s">
        <v>385</v>
      </c>
      <c r="B244" s="3">
        <v>81</v>
      </c>
      <c r="C244" s="7">
        <v>477.48</v>
      </c>
      <c r="D244" s="7">
        <v>479.85</v>
      </c>
      <c r="E244" s="7">
        <v>494.503</v>
      </c>
      <c r="F244" s="7">
        <v>469.876</v>
      </c>
      <c r="G244" s="7">
        <v>497.335</v>
      </c>
      <c r="H244" s="7">
        <v>408.2</v>
      </c>
      <c r="I244" s="7"/>
      <c r="J244" s="7">
        <v>449.581</v>
      </c>
      <c r="K244" s="7">
        <v>340.639</v>
      </c>
      <c r="L244" s="7">
        <v>227.737</v>
      </c>
      <c r="M244" s="7">
        <v>232.689</v>
      </c>
      <c r="N244" s="7">
        <v>494.875</v>
      </c>
      <c r="O244" s="7">
        <v>599.118</v>
      </c>
      <c r="P244" s="7">
        <v>444.3</v>
      </c>
      <c r="Q244" s="7">
        <v>445.82</v>
      </c>
    </row>
    <row r="245" spans="1:17" s="4" customFormat="1" ht="15.75">
      <c r="A245" s="91" t="s">
        <v>387</v>
      </c>
      <c r="B245" s="3">
        <v>131</v>
      </c>
      <c r="C245" s="7">
        <v>437.972</v>
      </c>
      <c r="D245" s="7">
        <v>474.329</v>
      </c>
      <c r="E245" s="7">
        <v>430.09</v>
      </c>
      <c r="F245" s="7">
        <v>389.351</v>
      </c>
      <c r="G245" s="7">
        <v>424.625</v>
      </c>
      <c r="H245" s="7">
        <v>332.819</v>
      </c>
      <c r="I245" s="7"/>
      <c r="J245" s="7">
        <v>378.259</v>
      </c>
      <c r="K245" s="7">
        <v>357.817</v>
      </c>
      <c r="L245" s="7">
        <v>225.628</v>
      </c>
      <c r="M245" s="7">
        <v>159.875</v>
      </c>
      <c r="N245" s="7">
        <v>428.645</v>
      </c>
      <c r="O245" s="7">
        <v>619.74</v>
      </c>
      <c r="P245" s="7">
        <v>394.167</v>
      </c>
      <c r="Q245" s="7">
        <v>395.701</v>
      </c>
    </row>
    <row r="246" spans="1:17" s="4" customFormat="1" ht="15.75">
      <c r="A246" s="91" t="s">
        <v>388</v>
      </c>
      <c r="B246" s="3">
        <v>157</v>
      </c>
      <c r="C246" s="7">
        <v>421.928</v>
      </c>
      <c r="D246" s="7">
        <v>454.21</v>
      </c>
      <c r="E246" s="7">
        <v>435.647</v>
      </c>
      <c r="F246" s="7">
        <v>383.122</v>
      </c>
      <c r="G246" s="7">
        <v>426.815</v>
      </c>
      <c r="H246" s="7">
        <v>317.547</v>
      </c>
      <c r="I246" s="7"/>
      <c r="J246" s="7">
        <v>367.982</v>
      </c>
      <c r="K246" s="7">
        <v>328.117</v>
      </c>
      <c r="L246" s="7">
        <v>207.853</v>
      </c>
      <c r="M246" s="7">
        <v>150.641</v>
      </c>
      <c r="N246" s="7">
        <v>430.835</v>
      </c>
      <c r="O246" s="7">
        <v>601.587</v>
      </c>
      <c r="P246" s="7">
        <v>356.454</v>
      </c>
      <c r="Q246" s="7">
        <v>361.545</v>
      </c>
    </row>
    <row r="247" spans="1:17" s="4" customFormat="1" ht="15.75">
      <c r="A247" s="91" t="s">
        <v>389</v>
      </c>
      <c r="B247" s="3">
        <v>168</v>
      </c>
      <c r="C247" s="7">
        <v>421.928</v>
      </c>
      <c r="D247" s="7">
        <v>454.21</v>
      </c>
      <c r="E247" s="7">
        <v>435.647</v>
      </c>
      <c r="F247" s="7">
        <v>383.122</v>
      </c>
      <c r="G247" s="7">
        <v>426.815</v>
      </c>
      <c r="H247" s="7">
        <v>317.547</v>
      </c>
      <c r="I247" s="7"/>
      <c r="J247" s="7">
        <v>367.982</v>
      </c>
      <c r="K247" s="7">
        <v>328.117</v>
      </c>
      <c r="L247" s="7">
        <v>207.853</v>
      </c>
      <c r="M247" s="7">
        <v>150.641</v>
      </c>
      <c r="N247" s="7">
        <v>430.835</v>
      </c>
      <c r="O247" s="7">
        <v>601.587</v>
      </c>
      <c r="P247" s="7">
        <v>356.454</v>
      </c>
      <c r="Q247" s="7">
        <v>361.545</v>
      </c>
    </row>
    <row r="248" spans="1:17" s="4" customFormat="1" ht="15.75">
      <c r="A248" s="91" t="s">
        <v>390</v>
      </c>
      <c r="B248" s="3">
        <v>186</v>
      </c>
      <c r="C248" s="7">
        <v>455.543</v>
      </c>
      <c r="D248" s="7">
        <v>484.011</v>
      </c>
      <c r="E248" s="7">
        <v>460.649</v>
      </c>
      <c r="F248" s="7">
        <v>408.951</v>
      </c>
      <c r="G248" s="7">
        <v>456.501</v>
      </c>
      <c r="H248" s="7">
        <v>343.16</v>
      </c>
      <c r="I248" s="7"/>
      <c r="J248" s="7">
        <v>393.714</v>
      </c>
      <c r="K248" s="7">
        <v>317.01</v>
      </c>
      <c r="L248" s="7">
        <v>203.942</v>
      </c>
      <c r="M248" s="7">
        <v>161.469</v>
      </c>
      <c r="N248" s="7">
        <v>460.521</v>
      </c>
      <c r="O248" s="7">
        <v>669.804</v>
      </c>
      <c r="P248" s="7">
        <v>397.693</v>
      </c>
      <c r="Q248" s="7">
        <v>402.766</v>
      </c>
    </row>
    <row r="249" spans="1:17" ht="15.75">
      <c r="A249" s="91" t="s">
        <v>391</v>
      </c>
      <c r="B249" s="3">
        <v>205</v>
      </c>
      <c r="C249" s="7">
        <v>485.927</v>
      </c>
      <c r="D249" s="7">
        <v>513.868</v>
      </c>
      <c r="E249" s="7">
        <v>493.02</v>
      </c>
      <c r="F249" s="7">
        <v>446.018</v>
      </c>
      <c r="G249" s="7">
        <v>485.134</v>
      </c>
      <c r="H249" s="7">
        <v>364.003</v>
      </c>
      <c r="I249" s="7"/>
      <c r="J249" s="7">
        <v>423.517</v>
      </c>
      <c r="K249" s="7">
        <v>321.798</v>
      </c>
      <c r="L249" s="7">
        <v>208.514</v>
      </c>
      <c r="M249" s="7">
        <v>175.442</v>
      </c>
      <c r="N249" s="7">
        <v>489.154</v>
      </c>
      <c r="O249" s="7">
        <v>690.168</v>
      </c>
      <c r="P249" s="7">
        <v>453.633</v>
      </c>
      <c r="Q249" s="7">
        <v>458.23</v>
      </c>
    </row>
    <row r="250" spans="1:17" ht="15.75">
      <c r="A250" s="91" t="s">
        <v>392</v>
      </c>
      <c r="B250" s="3">
        <v>218</v>
      </c>
      <c r="C250" s="7">
        <v>473.605</v>
      </c>
      <c r="D250" s="7">
        <v>496.851</v>
      </c>
      <c r="E250" s="7">
        <v>491.265</v>
      </c>
      <c r="F250" s="7">
        <v>445.818</v>
      </c>
      <c r="G250" s="7">
        <v>476.186</v>
      </c>
      <c r="H250" s="7">
        <v>374.728</v>
      </c>
      <c r="I250" s="7"/>
      <c r="J250" s="7">
        <v>416.121</v>
      </c>
      <c r="K250" s="7">
        <v>323.038</v>
      </c>
      <c r="L250" s="7">
        <v>207.727</v>
      </c>
      <c r="M250" s="7">
        <v>171.282</v>
      </c>
      <c r="N250" s="7">
        <v>480.206</v>
      </c>
      <c r="O250" s="7">
        <v>686.197</v>
      </c>
      <c r="P250" s="7">
        <v>433.396</v>
      </c>
      <c r="Q250" s="7">
        <v>440.341</v>
      </c>
    </row>
    <row r="251" spans="1:17" ht="15.75">
      <c r="A251" s="93" t="s">
        <v>393</v>
      </c>
      <c r="B251" s="10">
        <v>227</v>
      </c>
      <c r="C251" s="11">
        <v>402.432</v>
      </c>
      <c r="D251" s="11">
        <v>415.868</v>
      </c>
      <c r="E251" s="11">
        <v>464.496</v>
      </c>
      <c r="F251" s="11">
        <v>420.811</v>
      </c>
      <c r="G251" s="11">
        <v>447.253</v>
      </c>
      <c r="H251" s="11">
        <v>334.563</v>
      </c>
      <c r="I251" s="11"/>
      <c r="J251" s="11">
        <v>396.415</v>
      </c>
      <c r="K251" s="11">
        <v>321.092</v>
      </c>
      <c r="L251" s="11">
        <v>205.441</v>
      </c>
      <c r="M251" s="11">
        <v>184.5</v>
      </c>
      <c r="N251" s="11">
        <v>451.273</v>
      </c>
      <c r="O251" s="11">
        <v>673.015</v>
      </c>
      <c r="P251" s="11">
        <v>411.528</v>
      </c>
      <c r="Q251" s="11">
        <v>411.804</v>
      </c>
    </row>
    <row r="252" spans="1:17" s="4" customFormat="1" ht="15.75">
      <c r="A252" s="91" t="s">
        <v>395</v>
      </c>
      <c r="B252" s="3">
        <v>248</v>
      </c>
      <c r="C252" s="7">
        <v>380.109</v>
      </c>
      <c r="D252" s="7">
        <v>403.003</v>
      </c>
      <c r="E252" s="7">
        <v>456.019</v>
      </c>
      <c r="F252" s="7">
        <v>445.203</v>
      </c>
      <c r="G252" s="7">
        <v>447.127</v>
      </c>
      <c r="H252" s="7">
        <v>339.149</v>
      </c>
      <c r="I252" s="7"/>
      <c r="J252" s="7">
        <v>395.541</v>
      </c>
      <c r="K252" s="7">
        <v>313.997</v>
      </c>
      <c r="L252" s="7">
        <v>203.618</v>
      </c>
      <c r="M252" s="7">
        <v>168.004</v>
      </c>
      <c r="N252" s="7">
        <v>455.307</v>
      </c>
      <c r="O252" s="7">
        <v>715.648</v>
      </c>
      <c r="P252" s="7">
        <v>422.619</v>
      </c>
      <c r="Q252" s="7">
        <v>422.619</v>
      </c>
    </row>
    <row r="253" spans="1:17" ht="15.75">
      <c r="A253" s="91" t="s">
        <v>396</v>
      </c>
      <c r="B253" s="3">
        <v>25</v>
      </c>
      <c r="C253" s="7">
        <v>415.344</v>
      </c>
      <c r="D253" s="7">
        <v>445.317</v>
      </c>
      <c r="E253" s="7">
        <v>464.639</v>
      </c>
      <c r="F253" s="7">
        <v>455.817</v>
      </c>
      <c r="G253" s="7">
        <v>462.294</v>
      </c>
      <c r="H253" s="7">
        <v>349.069</v>
      </c>
      <c r="I253" s="7"/>
      <c r="J253" s="7">
        <v>405.845</v>
      </c>
      <c r="K253" s="7">
        <v>302.912</v>
      </c>
      <c r="L253" s="7">
        <v>198.201</v>
      </c>
      <c r="M253" s="7">
        <v>175.6</v>
      </c>
      <c r="N253" s="7">
        <v>470.474</v>
      </c>
      <c r="O253" s="7">
        <v>719.439</v>
      </c>
      <c r="P253" s="7">
        <v>435.901</v>
      </c>
      <c r="Q253" s="7">
        <v>435.901</v>
      </c>
    </row>
    <row r="254" spans="1:17" ht="15.75">
      <c r="A254" s="92" t="s">
        <v>397</v>
      </c>
      <c r="B254" s="3">
        <v>39</v>
      </c>
      <c r="C254" s="7">
        <v>415.344</v>
      </c>
      <c r="D254" s="7">
        <v>445.317</v>
      </c>
      <c r="E254" s="7">
        <v>464.639</v>
      </c>
      <c r="F254" s="7">
        <v>455.817</v>
      </c>
      <c r="G254" s="7">
        <v>462.294</v>
      </c>
      <c r="H254" s="7">
        <v>349.069</v>
      </c>
      <c r="I254" s="7"/>
      <c r="J254" s="7">
        <v>405.845</v>
      </c>
      <c r="K254" s="7">
        <v>302.912</v>
      </c>
      <c r="L254" s="7">
        <v>198.201</v>
      </c>
      <c r="M254" s="7">
        <v>175.6</v>
      </c>
      <c r="N254" s="7">
        <v>470.474</v>
      </c>
      <c r="O254" s="7">
        <v>719.439</v>
      </c>
      <c r="P254" s="7">
        <v>435.901</v>
      </c>
      <c r="Q254" s="7">
        <v>435.901</v>
      </c>
    </row>
    <row r="255" spans="1:17" s="4" customFormat="1" ht="15.75">
      <c r="A255" s="94" t="s">
        <v>399</v>
      </c>
      <c r="B255" s="3">
        <v>42</v>
      </c>
      <c r="C255" s="7">
        <v>430.301</v>
      </c>
      <c r="D255" s="7">
        <v>462.123</v>
      </c>
      <c r="E255" s="7">
        <v>479.694</v>
      </c>
      <c r="F255" s="7">
        <v>468.942</v>
      </c>
      <c r="G255" s="7">
        <v>482.169</v>
      </c>
      <c r="H255" s="7">
        <v>357.422</v>
      </c>
      <c r="I255" s="7"/>
      <c r="J255" s="7">
        <v>416.833</v>
      </c>
      <c r="K255" s="7">
        <v>305.025</v>
      </c>
      <c r="L255" s="7">
        <v>200.142</v>
      </c>
      <c r="M255" s="7">
        <v>171.395</v>
      </c>
      <c r="N255" s="7">
        <v>490.349</v>
      </c>
      <c r="O255" s="7">
        <v>724.81</v>
      </c>
      <c r="P255" s="7">
        <v>450.041</v>
      </c>
      <c r="Q255" s="7">
        <v>450.041</v>
      </c>
    </row>
    <row r="256" spans="1:17" s="4" customFormat="1" ht="15.75">
      <c r="A256" s="94" t="s">
        <v>400</v>
      </c>
      <c r="B256" s="3">
        <v>59</v>
      </c>
      <c r="C256" s="7">
        <v>430.301</v>
      </c>
      <c r="D256" s="7">
        <v>462.123</v>
      </c>
      <c r="E256" s="7">
        <v>479.694</v>
      </c>
      <c r="F256" s="7">
        <v>468.942</v>
      </c>
      <c r="G256" s="7">
        <v>482.169</v>
      </c>
      <c r="H256" s="7">
        <v>357.422</v>
      </c>
      <c r="I256" s="7"/>
      <c r="J256" s="7">
        <v>416.833</v>
      </c>
      <c r="K256" s="7">
        <v>305.025</v>
      </c>
      <c r="L256" s="7">
        <v>200.142</v>
      </c>
      <c r="M256" s="7">
        <v>171.395</v>
      </c>
      <c r="N256" s="7">
        <v>490.349</v>
      </c>
      <c r="O256" s="7">
        <v>724.81</v>
      </c>
      <c r="P256" s="7">
        <v>450.041</v>
      </c>
      <c r="Q256" s="7">
        <v>450.041</v>
      </c>
    </row>
    <row r="257" spans="1:17" ht="15.75">
      <c r="A257" s="95" t="s">
        <v>398</v>
      </c>
      <c r="B257" s="3">
        <v>64</v>
      </c>
      <c r="C257" s="7">
        <v>454.758</v>
      </c>
      <c r="D257" s="7">
        <v>490.888</v>
      </c>
      <c r="E257" s="7">
        <v>472.008</v>
      </c>
      <c r="F257" s="7">
        <v>452.738</v>
      </c>
      <c r="G257" s="7">
        <v>463.613</v>
      </c>
      <c r="H257" s="7">
        <v>346.411</v>
      </c>
      <c r="I257" s="7"/>
      <c r="J257" s="7">
        <v>402.955</v>
      </c>
      <c r="K257" s="7">
        <v>311.121</v>
      </c>
      <c r="L257" s="7">
        <v>202.548</v>
      </c>
      <c r="M257" s="7">
        <v>158.619</v>
      </c>
      <c r="N257" s="7">
        <v>471.793</v>
      </c>
      <c r="O257" s="7">
        <v>730.923</v>
      </c>
      <c r="P257" s="7">
        <v>469.504</v>
      </c>
      <c r="Q257" s="7">
        <v>469.504</v>
      </c>
    </row>
    <row r="258" spans="1:17" ht="15.75">
      <c r="A258" s="95" t="s">
        <v>401</v>
      </c>
      <c r="B258" s="3">
        <v>82</v>
      </c>
      <c r="C258" s="7">
        <v>433.187</v>
      </c>
      <c r="D258" s="7">
        <v>462.117</v>
      </c>
      <c r="E258" s="7">
        <v>460.131</v>
      </c>
      <c r="F258" s="7">
        <v>433.948</v>
      </c>
      <c r="G258" s="7">
        <v>445.748</v>
      </c>
      <c r="H258" s="7">
        <v>341.625</v>
      </c>
      <c r="I258" s="7"/>
      <c r="J258" s="7">
        <v>390.434</v>
      </c>
      <c r="K258" s="7">
        <v>314.867</v>
      </c>
      <c r="L258" s="7">
        <v>204.207</v>
      </c>
      <c r="M258" s="7">
        <v>159.379</v>
      </c>
      <c r="N258" s="7">
        <v>453.928</v>
      </c>
      <c r="O258" s="7">
        <v>713.748</v>
      </c>
      <c r="P258" s="7">
        <v>384.54</v>
      </c>
      <c r="Q258" s="7">
        <v>384.54</v>
      </c>
    </row>
    <row r="259" spans="1:17" ht="15.75">
      <c r="A259" s="95" t="s">
        <v>402</v>
      </c>
      <c r="B259" s="3">
        <v>95</v>
      </c>
      <c r="C259" s="7">
        <v>433.187</v>
      </c>
      <c r="D259" s="7">
        <v>462.117</v>
      </c>
      <c r="E259" s="7">
        <v>460.131</v>
      </c>
      <c r="F259" s="7">
        <v>433.948</v>
      </c>
      <c r="G259" s="7">
        <v>445.748</v>
      </c>
      <c r="H259" s="7">
        <v>341.625</v>
      </c>
      <c r="I259" s="7"/>
      <c r="J259" s="7">
        <v>390.434</v>
      </c>
      <c r="K259" s="7">
        <v>314.867</v>
      </c>
      <c r="L259" s="7">
        <v>204.207</v>
      </c>
      <c r="M259" s="7">
        <v>159.379</v>
      </c>
      <c r="N259" s="7">
        <v>453.928</v>
      </c>
      <c r="O259" s="7">
        <v>713.748</v>
      </c>
      <c r="P259" s="7">
        <v>384.54</v>
      </c>
      <c r="Q259" s="7">
        <v>384.54</v>
      </c>
    </row>
    <row r="260" spans="1:17" ht="15.75">
      <c r="A260" s="95" t="s">
        <v>404</v>
      </c>
      <c r="B260" s="3">
        <v>103</v>
      </c>
      <c r="C260" s="7">
        <v>430.584</v>
      </c>
      <c r="D260" s="7">
        <v>460.149</v>
      </c>
      <c r="E260" s="7">
        <v>438.168</v>
      </c>
      <c r="F260" s="7">
        <v>411.801</v>
      </c>
      <c r="G260" s="7">
        <v>414.595</v>
      </c>
      <c r="H260" s="7">
        <v>334.685</v>
      </c>
      <c r="I260" s="7"/>
      <c r="J260" s="7">
        <v>375.095</v>
      </c>
      <c r="K260" s="7">
        <v>310.814</v>
      </c>
      <c r="L260" s="7">
        <v>201.31</v>
      </c>
      <c r="M260" s="7">
        <v>155.624</v>
      </c>
      <c r="N260" s="7">
        <v>422.775</v>
      </c>
      <c r="O260" s="7">
        <v>715.812</v>
      </c>
      <c r="P260" s="7">
        <v>362.989</v>
      </c>
      <c r="Q260" s="7">
        <v>363.955</v>
      </c>
    </row>
    <row r="261" spans="1:17" ht="15.75">
      <c r="A261" s="95" t="s">
        <v>405</v>
      </c>
      <c r="B261" s="3">
        <v>111</v>
      </c>
      <c r="C261" s="7">
        <v>430.552</v>
      </c>
      <c r="D261" s="7">
        <v>460.116</v>
      </c>
      <c r="E261" s="7">
        <v>438.136</v>
      </c>
      <c r="F261" s="7">
        <v>411.77</v>
      </c>
      <c r="G261" s="7">
        <v>414.564</v>
      </c>
      <c r="H261" s="7">
        <v>334.66</v>
      </c>
      <c r="I261" s="7"/>
      <c r="J261" s="7">
        <v>375.067</v>
      </c>
      <c r="K261" s="7">
        <v>310.791</v>
      </c>
      <c r="L261" s="7">
        <v>201.294</v>
      </c>
      <c r="M261" s="7">
        <v>151.025</v>
      </c>
      <c r="N261" s="7">
        <v>422.744</v>
      </c>
      <c r="O261" s="7">
        <v>715.756</v>
      </c>
      <c r="P261" s="7">
        <v>362.962</v>
      </c>
      <c r="Q261" s="7">
        <v>363.928</v>
      </c>
    </row>
    <row r="262" spans="1:17" ht="15.75">
      <c r="A262" s="96" t="s">
        <v>406</v>
      </c>
      <c r="B262" s="3">
        <v>119</v>
      </c>
      <c r="C262" s="7">
        <v>430.552</v>
      </c>
      <c r="D262" s="7">
        <v>460.116</v>
      </c>
      <c r="E262" s="7">
        <v>438.136</v>
      </c>
      <c r="F262" s="7">
        <v>411.77</v>
      </c>
      <c r="G262" s="7">
        <v>414.564</v>
      </c>
      <c r="H262" s="7">
        <v>334.66</v>
      </c>
      <c r="I262" s="7"/>
      <c r="J262" s="7">
        <v>375.067</v>
      </c>
      <c r="K262" s="7">
        <v>310.791</v>
      </c>
      <c r="L262" s="7">
        <v>201.294</v>
      </c>
      <c r="M262" s="7">
        <v>151.025</v>
      </c>
      <c r="N262" s="7">
        <v>432.627</v>
      </c>
      <c r="O262" s="7">
        <v>719.138</v>
      </c>
      <c r="P262" s="7">
        <v>362.962</v>
      </c>
      <c r="Q262" s="7">
        <v>363.928</v>
      </c>
    </row>
    <row r="263" spans="1:17" ht="15.75">
      <c r="A263" s="96" t="s">
        <v>407</v>
      </c>
      <c r="B263" s="3">
        <v>124</v>
      </c>
      <c r="C263" s="7">
        <v>430.552</v>
      </c>
      <c r="D263" s="7">
        <v>460.116</v>
      </c>
      <c r="E263" s="7">
        <v>438.136</v>
      </c>
      <c r="F263" s="7">
        <v>411.77</v>
      </c>
      <c r="G263" s="7">
        <v>414.564</v>
      </c>
      <c r="H263" s="7">
        <v>334.66</v>
      </c>
      <c r="I263" s="7"/>
      <c r="J263" s="7">
        <v>375.067</v>
      </c>
      <c r="K263" s="7">
        <v>310.791</v>
      </c>
      <c r="L263" s="7">
        <v>201.294</v>
      </c>
      <c r="M263" s="7">
        <v>151.025</v>
      </c>
      <c r="N263" s="7">
        <v>442.293</v>
      </c>
      <c r="O263" s="7">
        <v>716.982</v>
      </c>
      <c r="P263" s="7">
        <v>362.962</v>
      </c>
      <c r="Q263" s="7">
        <v>363.928</v>
      </c>
    </row>
    <row r="264" spans="1:17" ht="15.75">
      <c r="A264" s="96" t="s">
        <v>408</v>
      </c>
      <c r="B264" s="3">
        <v>129</v>
      </c>
      <c r="C264" s="7">
        <v>430.798</v>
      </c>
      <c r="D264" s="7">
        <v>452.891</v>
      </c>
      <c r="E264" s="7">
        <v>425.485</v>
      </c>
      <c r="F264" s="7">
        <v>414.585</v>
      </c>
      <c r="G264" s="7">
        <v>419.686</v>
      </c>
      <c r="H264" s="7">
        <v>329.456</v>
      </c>
      <c r="I264" s="7"/>
      <c r="J264" s="7">
        <v>374.543</v>
      </c>
      <c r="K264" s="7">
        <v>304.077</v>
      </c>
      <c r="L264" s="3">
        <v>198.633</v>
      </c>
      <c r="M264" s="3">
        <v>148.436</v>
      </c>
      <c r="N264" s="7">
        <v>417.286</v>
      </c>
      <c r="O264" s="7">
        <v>746.98</v>
      </c>
      <c r="P264" s="7">
        <v>346.699</v>
      </c>
      <c r="Q264" s="7">
        <v>353.877</v>
      </c>
    </row>
    <row r="265" spans="1:17" ht="15.75">
      <c r="A265" s="96" t="s">
        <v>409</v>
      </c>
      <c r="B265" s="3">
        <v>148</v>
      </c>
      <c r="C265" s="7">
        <v>430.088</v>
      </c>
      <c r="D265" s="7">
        <v>450.27</v>
      </c>
      <c r="E265" s="7">
        <v>436.032</v>
      </c>
      <c r="F265" s="7">
        <v>424.287</v>
      </c>
      <c r="G265" s="7">
        <v>430.015</v>
      </c>
      <c r="H265" s="7">
        <v>329.96</v>
      </c>
      <c r="I265" s="7"/>
      <c r="J265" s="7">
        <v>380.127</v>
      </c>
      <c r="K265" s="7">
        <v>300.828</v>
      </c>
      <c r="L265" s="3">
        <v>196.864</v>
      </c>
      <c r="M265" s="3">
        <v>147.284</v>
      </c>
      <c r="N265" s="7">
        <v>427.615</v>
      </c>
      <c r="O265" s="7">
        <v>738.805</v>
      </c>
      <c r="P265" s="7">
        <v>366.753</v>
      </c>
      <c r="Q265" s="7">
        <v>370.996</v>
      </c>
    </row>
    <row r="266" spans="1:17" ht="15.75">
      <c r="A266" s="96" t="s">
        <v>410</v>
      </c>
      <c r="B266" s="3">
        <v>168</v>
      </c>
      <c r="C266" s="7">
        <v>451.417</v>
      </c>
      <c r="D266" s="7">
        <v>466.882</v>
      </c>
      <c r="E266" s="7">
        <v>445.875</v>
      </c>
      <c r="F266" s="7">
        <v>433.537</v>
      </c>
      <c r="G266" s="7">
        <v>443.711</v>
      </c>
      <c r="H266" s="7">
        <v>333.419</v>
      </c>
      <c r="I266" s="7"/>
      <c r="J266" s="7">
        <v>386.784</v>
      </c>
      <c r="K266" s="7">
        <v>300.422</v>
      </c>
      <c r="L266" s="3">
        <v>196.951</v>
      </c>
      <c r="M266" s="3">
        <v>158.209</v>
      </c>
      <c r="N266" s="7">
        <v>441.311</v>
      </c>
      <c r="O266" s="7">
        <v>746.664</v>
      </c>
      <c r="P266" s="7">
        <v>391.775</v>
      </c>
      <c r="Q266" s="7">
        <v>396.574</v>
      </c>
    </row>
    <row r="267" spans="1:17" ht="15.75">
      <c r="A267" s="96" t="s">
        <v>411</v>
      </c>
      <c r="B267" s="58">
        <v>188</v>
      </c>
      <c r="C267" s="59">
        <v>450.96</v>
      </c>
      <c r="D267" s="59">
        <v>463.971</v>
      </c>
      <c r="E267" s="59">
        <v>447.04</v>
      </c>
      <c r="F267" s="59">
        <v>433.536</v>
      </c>
      <c r="G267" s="59">
        <v>444.144</v>
      </c>
      <c r="H267" s="59">
        <v>335.52</v>
      </c>
      <c r="I267" s="59"/>
      <c r="J267" s="59">
        <v>387.194</v>
      </c>
      <c r="K267" s="59">
        <v>296.956</v>
      </c>
      <c r="L267" s="59">
        <v>197.362</v>
      </c>
      <c r="M267" s="59">
        <v>158.915</v>
      </c>
      <c r="N267" s="59">
        <v>433.72</v>
      </c>
      <c r="O267" s="59">
        <v>650.115</v>
      </c>
      <c r="P267" s="59">
        <v>391.775</v>
      </c>
      <c r="Q267" s="59">
        <v>396.984</v>
      </c>
    </row>
    <row r="268" spans="1:17" ht="15.75">
      <c r="A268" s="96" t="s">
        <v>412</v>
      </c>
      <c r="B268" s="58">
        <v>190</v>
      </c>
      <c r="C268" s="59">
        <v>423.878</v>
      </c>
      <c r="D268" s="59">
        <v>432.563</v>
      </c>
      <c r="E268" s="59">
        <v>462.481</v>
      </c>
      <c r="F268" s="59">
        <v>454.944</v>
      </c>
      <c r="G268" s="59">
        <v>458.152</v>
      </c>
      <c r="H268" s="59">
        <v>349.47</v>
      </c>
      <c r="I268" s="59"/>
      <c r="J268" s="59">
        <v>405.263</v>
      </c>
      <c r="K268" s="59">
        <v>304.253</v>
      </c>
      <c r="L268" s="59">
        <v>202.71</v>
      </c>
      <c r="M268" s="59">
        <v>182.407</v>
      </c>
      <c r="N268" s="59">
        <v>447.729</v>
      </c>
      <c r="O268" s="59">
        <v>642.846</v>
      </c>
      <c r="P268" s="59">
        <v>393.364</v>
      </c>
      <c r="Q268" s="59">
        <v>396.648</v>
      </c>
    </row>
    <row r="269" spans="1:17" ht="15.75">
      <c r="A269" s="96" t="s">
        <v>413</v>
      </c>
      <c r="B269" s="58">
        <v>210</v>
      </c>
      <c r="C269" s="59">
        <v>396.426</v>
      </c>
      <c r="D269" s="59">
        <v>403.234</v>
      </c>
      <c r="E269" s="59">
        <v>444.897</v>
      </c>
      <c r="F269" s="59">
        <v>442.791</v>
      </c>
      <c r="G269" s="59">
        <v>441.258</v>
      </c>
      <c r="H269" s="59">
        <v>343.755</v>
      </c>
      <c r="I269" s="59"/>
      <c r="J269" s="59">
        <v>395.926</v>
      </c>
      <c r="K269" s="59">
        <v>302.369</v>
      </c>
      <c r="L269" s="59">
        <v>201.126</v>
      </c>
      <c r="M269" s="59">
        <v>180.963</v>
      </c>
      <c r="N269" s="59">
        <v>430.403</v>
      </c>
      <c r="O269" s="59">
        <v>633.048</v>
      </c>
      <c r="P269" s="59">
        <v>382.075</v>
      </c>
      <c r="Q269" s="59">
        <v>384.158</v>
      </c>
    </row>
    <row r="270" spans="1:17" ht="15.75">
      <c r="A270" s="96" t="s">
        <v>414</v>
      </c>
      <c r="B270" s="58">
        <v>228</v>
      </c>
      <c r="C270" s="59">
        <v>396.426</v>
      </c>
      <c r="D270" s="59">
        <v>403.234</v>
      </c>
      <c r="E270" s="59">
        <v>444.897</v>
      </c>
      <c r="F270" s="59">
        <v>442.791</v>
      </c>
      <c r="G270" s="59">
        <v>441.258</v>
      </c>
      <c r="H270" s="59">
        <v>343.755</v>
      </c>
      <c r="I270" s="59"/>
      <c r="J270" s="59">
        <v>395.926</v>
      </c>
      <c r="K270" s="59">
        <v>302.369</v>
      </c>
      <c r="L270" s="59">
        <v>201.126</v>
      </c>
      <c r="M270" s="59">
        <v>180.963</v>
      </c>
      <c r="N270" s="59">
        <v>430.403</v>
      </c>
      <c r="O270" s="59">
        <v>633.048</v>
      </c>
      <c r="P270" s="59">
        <v>382.075</v>
      </c>
      <c r="Q270" s="59">
        <v>384.158</v>
      </c>
    </row>
    <row r="271" spans="1:17" ht="15.75">
      <c r="A271" s="96" t="s">
        <v>415</v>
      </c>
      <c r="B271" s="58">
        <v>231</v>
      </c>
      <c r="C271" s="59">
        <v>371.832</v>
      </c>
      <c r="D271" s="59">
        <v>377.895</v>
      </c>
      <c r="E271" s="59">
        <v>431.346</v>
      </c>
      <c r="F271" s="59">
        <v>432.149</v>
      </c>
      <c r="G271" s="59">
        <v>433.73</v>
      </c>
      <c r="H271" s="59">
        <v>335.726</v>
      </c>
      <c r="I271" s="59"/>
      <c r="J271" s="59">
        <v>386.401</v>
      </c>
      <c r="K271" s="59">
        <v>289.854</v>
      </c>
      <c r="L271" s="59">
        <v>193.431</v>
      </c>
      <c r="M271" s="59">
        <v>190.364</v>
      </c>
      <c r="N271" s="59">
        <v>423.101</v>
      </c>
      <c r="O271" s="59">
        <v>641.861</v>
      </c>
      <c r="P271" s="59">
        <v>379.135</v>
      </c>
      <c r="Q271" s="59">
        <v>380.998</v>
      </c>
    </row>
    <row r="272" spans="1:17" ht="15.75">
      <c r="A272" s="96" t="s">
        <v>417</v>
      </c>
      <c r="B272" s="58">
        <v>14</v>
      </c>
      <c r="C272" s="59">
        <v>368.67</v>
      </c>
      <c r="D272" s="59">
        <v>382.421</v>
      </c>
      <c r="E272" s="59">
        <v>444.914</v>
      </c>
      <c r="F272" s="59">
        <v>439.308</v>
      </c>
      <c r="G272" s="59">
        <v>442.342</v>
      </c>
      <c r="H272" s="59">
        <v>322.773</v>
      </c>
      <c r="I272" s="59"/>
      <c r="J272" s="59">
        <v>388.671</v>
      </c>
      <c r="K272" s="59">
        <v>282.833</v>
      </c>
      <c r="L272" s="59">
        <v>187.725</v>
      </c>
      <c r="M272" s="59">
        <v>201.693</v>
      </c>
      <c r="N272" s="59">
        <v>445.444</v>
      </c>
      <c r="O272" s="59">
        <v>696.861</v>
      </c>
      <c r="P272" s="59">
        <v>401.428</v>
      </c>
      <c r="Q272" s="59">
        <v>403.099</v>
      </c>
    </row>
    <row r="273" spans="1:17" ht="15.75">
      <c r="A273" s="96" t="s">
        <v>420</v>
      </c>
      <c r="B273" s="58">
        <v>26</v>
      </c>
      <c r="C273" s="59">
        <v>382.963</v>
      </c>
      <c r="D273" s="59">
        <v>395.979</v>
      </c>
      <c r="E273" s="59">
        <v>443.15</v>
      </c>
      <c r="F273" s="59">
        <v>435.471</v>
      </c>
      <c r="G273" s="59">
        <v>445.608</v>
      </c>
      <c r="H273" s="59">
        <v>319.052</v>
      </c>
      <c r="I273" s="59"/>
      <c r="J273" s="59">
        <v>384.812</v>
      </c>
      <c r="K273" s="59">
        <v>279.369</v>
      </c>
      <c r="L273" s="59">
        <v>185.612</v>
      </c>
      <c r="M273" s="59">
        <v>201.505</v>
      </c>
      <c r="N273" s="59">
        <v>448.935</v>
      </c>
      <c r="O273" s="59">
        <v>698.404</v>
      </c>
      <c r="P273" s="59">
        <v>416.824</v>
      </c>
      <c r="Q273" s="59">
        <v>418.373</v>
      </c>
    </row>
    <row r="274" spans="1:17" ht="15.75">
      <c r="A274" s="95" t="s">
        <v>421</v>
      </c>
      <c r="B274" s="58">
        <v>31</v>
      </c>
      <c r="C274" s="59">
        <v>382.963</v>
      </c>
      <c r="D274" s="59">
        <v>395.979</v>
      </c>
      <c r="E274" s="59">
        <v>443.15</v>
      </c>
      <c r="F274" s="59">
        <v>435.471</v>
      </c>
      <c r="G274" s="59">
        <v>445.608</v>
      </c>
      <c r="H274" s="59">
        <v>319.052</v>
      </c>
      <c r="I274" s="59"/>
      <c r="J274" s="59">
        <v>384.812</v>
      </c>
      <c r="K274" s="59">
        <v>279.369</v>
      </c>
      <c r="L274" s="59">
        <v>185.612</v>
      </c>
      <c r="M274" s="59">
        <v>201.505</v>
      </c>
      <c r="N274" s="59">
        <v>448.935</v>
      </c>
      <c r="O274" s="59">
        <v>698.404</v>
      </c>
      <c r="P274" s="59">
        <v>416.824</v>
      </c>
      <c r="Q274" s="59">
        <v>418.373</v>
      </c>
    </row>
    <row r="275" spans="1:17" ht="15.75">
      <c r="A275" s="96" t="s">
        <v>422</v>
      </c>
      <c r="B275" s="58">
        <v>47</v>
      </c>
      <c r="C275" s="59">
        <v>408.649</v>
      </c>
      <c r="D275" s="59">
        <v>421.508</v>
      </c>
      <c r="E275" s="59">
        <v>462.311</v>
      </c>
      <c r="F275" s="59">
        <v>442.796</v>
      </c>
      <c r="G275" s="59">
        <v>460.215</v>
      </c>
      <c r="H275" s="59">
        <v>331.029</v>
      </c>
      <c r="I275" s="59"/>
      <c r="J275" s="59">
        <v>394.269</v>
      </c>
      <c r="K275" s="59">
        <v>296.622</v>
      </c>
      <c r="L275" s="59">
        <v>196.346</v>
      </c>
      <c r="M275" s="59">
        <v>246.046</v>
      </c>
      <c r="N275" s="59">
        <v>463.516</v>
      </c>
      <c r="O275" s="59">
        <v>728.129</v>
      </c>
      <c r="P275" s="59">
        <v>408.708</v>
      </c>
      <c r="Q275" s="59">
        <v>411.675</v>
      </c>
    </row>
    <row r="276" spans="1:17" ht="15.75">
      <c r="A276" s="95" t="s">
        <v>423</v>
      </c>
      <c r="B276" s="60">
        <v>67</v>
      </c>
      <c r="C276" s="59">
        <v>444.606</v>
      </c>
      <c r="D276" s="59">
        <v>467.076</v>
      </c>
      <c r="E276" s="59">
        <v>487.555</v>
      </c>
      <c r="F276" s="59">
        <v>474.481</v>
      </c>
      <c r="G276" s="59">
        <v>486.847</v>
      </c>
      <c r="H276" s="59">
        <v>349.087</v>
      </c>
      <c r="I276" s="59"/>
      <c r="J276" s="59">
        <v>420.018</v>
      </c>
      <c r="K276" s="59">
        <v>314.812</v>
      </c>
      <c r="L276" s="59">
        <v>208.366</v>
      </c>
      <c r="M276" s="59">
        <v>193.189</v>
      </c>
      <c r="N276" s="59">
        <v>490.311</v>
      </c>
      <c r="O276" s="59">
        <v>764.245</v>
      </c>
      <c r="P276" s="59">
        <v>437.255</v>
      </c>
      <c r="Q276" s="59">
        <v>439.08</v>
      </c>
    </row>
    <row r="277" spans="1:17" ht="15.75">
      <c r="A277" s="95" t="s">
        <v>424</v>
      </c>
      <c r="B277" s="60">
        <v>91</v>
      </c>
      <c r="C277" s="59">
        <v>473.137</v>
      </c>
      <c r="D277" s="59">
        <v>483.695</v>
      </c>
      <c r="E277" s="59">
        <v>486.832</v>
      </c>
      <c r="F277" s="59">
        <v>476.576</v>
      </c>
      <c r="G277" s="59">
        <v>481.529</v>
      </c>
      <c r="H277" s="59">
        <v>354.679</v>
      </c>
      <c r="I277" s="59"/>
      <c r="J277" s="59">
        <v>423.244</v>
      </c>
      <c r="K277" s="59">
        <v>329.972</v>
      </c>
      <c r="L277" s="59">
        <v>217.119</v>
      </c>
      <c r="M277" s="59">
        <v>195.977</v>
      </c>
      <c r="N277" s="59">
        <v>485.021</v>
      </c>
      <c r="O277" s="59">
        <v>783.669</v>
      </c>
      <c r="P277" s="59">
        <v>439.434</v>
      </c>
      <c r="Q277" s="59">
        <v>441.174</v>
      </c>
    </row>
    <row r="278" spans="1:17" ht="15.75">
      <c r="A278" s="95" t="s">
        <v>425</v>
      </c>
      <c r="B278" s="60">
        <v>96</v>
      </c>
      <c r="C278" s="59">
        <v>473.137</v>
      </c>
      <c r="D278" s="59">
        <v>483.695</v>
      </c>
      <c r="E278" s="59">
        <v>486.832</v>
      </c>
      <c r="F278" s="59">
        <v>476.576</v>
      </c>
      <c r="G278" s="59">
        <v>481.529</v>
      </c>
      <c r="H278" s="59">
        <v>354.679</v>
      </c>
      <c r="I278" s="59"/>
      <c r="J278" s="59">
        <v>423.244</v>
      </c>
      <c r="K278" s="59">
        <v>329.972</v>
      </c>
      <c r="L278" s="59">
        <v>217.119</v>
      </c>
      <c r="M278" s="59">
        <v>195.977</v>
      </c>
      <c r="N278" s="59">
        <v>485.021</v>
      </c>
      <c r="O278" s="59">
        <v>783.669</v>
      </c>
      <c r="P278" s="59">
        <v>439.434</v>
      </c>
      <c r="Q278" s="59">
        <v>441.174</v>
      </c>
    </row>
    <row r="279" spans="1:17" ht="15.75">
      <c r="A279" s="96" t="s">
        <v>426</v>
      </c>
      <c r="B279" s="58">
        <v>101</v>
      </c>
      <c r="C279" s="59">
        <v>476.942</v>
      </c>
      <c r="D279" s="59">
        <v>492.121</v>
      </c>
      <c r="E279" s="59">
        <v>498.429</v>
      </c>
      <c r="F279" s="59">
        <v>485.646</v>
      </c>
      <c r="G279" s="59">
        <v>490.69</v>
      </c>
      <c r="H279" s="59">
        <v>367.843</v>
      </c>
      <c r="I279" s="59"/>
      <c r="J279" s="59">
        <v>434.324</v>
      </c>
      <c r="K279" s="59">
        <v>337.46</v>
      </c>
      <c r="L279" s="59">
        <v>222.314</v>
      </c>
      <c r="M279" s="59">
        <v>198.034</v>
      </c>
      <c r="N279" s="59">
        <v>494.131</v>
      </c>
      <c r="O279" s="59">
        <v>793.103</v>
      </c>
      <c r="P279" s="59">
        <v>446.932</v>
      </c>
      <c r="Q279" s="59">
        <v>449.91</v>
      </c>
    </row>
    <row r="280" spans="1:17" ht="15.75">
      <c r="A280" s="96" t="s">
        <v>427</v>
      </c>
      <c r="B280" s="58">
        <v>112</v>
      </c>
      <c r="C280" s="59">
        <v>476.942</v>
      </c>
      <c r="D280" s="59">
        <v>492.121</v>
      </c>
      <c r="E280" s="59">
        <v>498.429</v>
      </c>
      <c r="F280" s="59">
        <v>485.646</v>
      </c>
      <c r="G280" s="59">
        <v>490.69</v>
      </c>
      <c r="H280" s="59">
        <v>367.843</v>
      </c>
      <c r="I280" s="59"/>
      <c r="J280" s="59">
        <v>434.324</v>
      </c>
      <c r="K280" s="59">
        <v>337.46</v>
      </c>
      <c r="L280" s="59">
        <v>222.314</v>
      </c>
      <c r="M280" s="59">
        <v>198.034</v>
      </c>
      <c r="N280" s="59">
        <v>494.131</v>
      </c>
      <c r="O280" s="59">
        <v>793.103</v>
      </c>
      <c r="P280" s="59">
        <v>446.932</v>
      </c>
      <c r="Q280" s="59">
        <v>449.91</v>
      </c>
    </row>
    <row r="281" spans="1:17" ht="15.75">
      <c r="A281" s="95" t="s">
        <v>428</v>
      </c>
      <c r="B281" s="3">
        <v>127</v>
      </c>
      <c r="C281" s="7">
        <v>504.527</v>
      </c>
      <c r="D281" s="7">
        <v>521.711</v>
      </c>
      <c r="E281" s="7">
        <v>485.012</v>
      </c>
      <c r="F281" s="7">
        <v>469.608</v>
      </c>
      <c r="G281" s="7">
        <v>478.703</v>
      </c>
      <c r="H281" s="7">
        <v>370.309</v>
      </c>
      <c r="I281" s="7"/>
      <c r="J281" s="7">
        <v>425.864</v>
      </c>
      <c r="K281" s="7">
        <v>353.124</v>
      </c>
      <c r="L281" s="7">
        <v>227.94</v>
      </c>
      <c r="M281" s="7">
        <v>183.554</v>
      </c>
      <c r="N281" s="7">
        <v>480.851</v>
      </c>
      <c r="O281" s="7">
        <v>818.153</v>
      </c>
      <c r="P281" s="7">
        <v>448.196</v>
      </c>
      <c r="Q281" s="7">
        <v>450.806</v>
      </c>
    </row>
    <row r="282" spans="1:17" ht="15.75">
      <c r="A282" s="95" t="s">
        <v>429</v>
      </c>
      <c r="B282" s="3">
        <v>146</v>
      </c>
      <c r="C282" s="7">
        <v>497.833</v>
      </c>
      <c r="D282" s="7">
        <v>515.518</v>
      </c>
      <c r="E282" s="7">
        <v>476.383</v>
      </c>
      <c r="F282" s="7">
        <v>454.482</v>
      </c>
      <c r="G282" s="7">
        <v>469.181</v>
      </c>
      <c r="H282" s="7">
        <v>356.242</v>
      </c>
      <c r="I282" s="7"/>
      <c r="J282" s="7">
        <v>411.316</v>
      </c>
      <c r="K282" s="7">
        <v>366.086</v>
      </c>
      <c r="L282" s="7">
        <v>233.804</v>
      </c>
      <c r="M282" s="7">
        <v>183.004</v>
      </c>
      <c r="N282" s="7">
        <v>471.404</v>
      </c>
      <c r="O282" s="7">
        <v>794.903</v>
      </c>
      <c r="P282" s="7">
        <v>437.289</v>
      </c>
      <c r="Q282" s="7">
        <v>438.69</v>
      </c>
    </row>
    <row r="283" spans="1:17" s="4" customFormat="1" ht="15.75">
      <c r="A283" s="96" t="s">
        <v>430</v>
      </c>
      <c r="B283" s="3">
        <v>164</v>
      </c>
      <c r="C283" s="7">
        <v>467.847</v>
      </c>
      <c r="D283" s="7">
        <v>478.843</v>
      </c>
      <c r="E283" s="7">
        <v>474.96</v>
      </c>
      <c r="F283" s="7">
        <v>455.951</v>
      </c>
      <c r="G283" s="7">
        <v>474.105</v>
      </c>
      <c r="H283" s="7">
        <v>350.187</v>
      </c>
      <c r="I283" s="7"/>
      <c r="J283" s="7">
        <v>409.348</v>
      </c>
      <c r="K283" s="7">
        <v>379.165</v>
      </c>
      <c r="L283" s="7">
        <v>240.733</v>
      </c>
      <c r="M283" s="7">
        <v>179.008</v>
      </c>
      <c r="N283" s="7">
        <v>476.541</v>
      </c>
      <c r="O283" s="7">
        <v>803.579</v>
      </c>
      <c r="P283" s="7">
        <v>428.243</v>
      </c>
      <c r="Q283" s="7">
        <v>432.065</v>
      </c>
    </row>
    <row r="284" spans="1:17" ht="15.75">
      <c r="A284" s="96" t="s">
        <v>431</v>
      </c>
      <c r="B284" s="3">
        <v>180</v>
      </c>
      <c r="C284" s="7">
        <v>467.874</v>
      </c>
      <c r="D284" s="7">
        <v>478.843</v>
      </c>
      <c r="E284" s="7">
        <v>474.96</v>
      </c>
      <c r="F284" s="7">
        <v>455.951</v>
      </c>
      <c r="G284" s="7">
        <v>474.105</v>
      </c>
      <c r="H284" s="7">
        <v>350.187</v>
      </c>
      <c r="I284" s="7"/>
      <c r="J284" s="7">
        <v>409.348</v>
      </c>
      <c r="K284" s="7">
        <v>379.165</v>
      </c>
      <c r="L284" s="7">
        <v>240.733</v>
      </c>
      <c r="M284" s="7">
        <v>179.008</v>
      </c>
      <c r="N284" s="7">
        <v>476.541</v>
      </c>
      <c r="O284" s="7">
        <v>803.579</v>
      </c>
      <c r="P284" s="7">
        <v>418.649</v>
      </c>
      <c r="Q284" s="7">
        <v>422.471</v>
      </c>
    </row>
    <row r="285" spans="1:17" ht="15.75">
      <c r="A285" s="96" t="s">
        <v>432</v>
      </c>
      <c r="B285" s="3">
        <v>189</v>
      </c>
      <c r="C285" s="7">
        <v>455.369</v>
      </c>
      <c r="D285" s="7">
        <v>477.19</v>
      </c>
      <c r="E285" s="7">
        <v>464.41</v>
      </c>
      <c r="F285" s="7">
        <v>441.133</v>
      </c>
      <c r="G285" s="7">
        <v>471.006</v>
      </c>
      <c r="H285" s="7">
        <v>348.085</v>
      </c>
      <c r="I285" s="7"/>
      <c r="J285" s="7">
        <v>400.231</v>
      </c>
      <c r="K285" s="7">
        <v>373.613</v>
      </c>
      <c r="L285" s="7">
        <v>237.522</v>
      </c>
      <c r="M285" s="7">
        <v>184.501</v>
      </c>
      <c r="N285" s="7">
        <v>473.188</v>
      </c>
      <c r="O285" s="7">
        <v>804.908</v>
      </c>
      <c r="P285" s="7">
        <v>400.231</v>
      </c>
      <c r="Q285" s="7">
        <v>405.96</v>
      </c>
    </row>
    <row r="286" spans="1:17" ht="15.75">
      <c r="A286" s="96" t="s">
        <v>433</v>
      </c>
      <c r="B286" s="3">
        <v>208</v>
      </c>
      <c r="C286" s="7">
        <v>428.701</v>
      </c>
      <c r="D286" s="7">
        <v>454.951</v>
      </c>
      <c r="E286" s="7">
        <v>440.66</v>
      </c>
      <c r="F286" s="7">
        <v>423.481</v>
      </c>
      <c r="G286" s="7">
        <v>437.49</v>
      </c>
      <c r="H286" s="7">
        <v>324.716</v>
      </c>
      <c r="I286" s="7"/>
      <c r="J286" s="7">
        <v>379.808</v>
      </c>
      <c r="K286" s="7">
        <v>363.146</v>
      </c>
      <c r="L286" s="7">
        <v>229.279</v>
      </c>
      <c r="M286" s="7">
        <v>183.691</v>
      </c>
      <c r="N286" s="7">
        <v>439.561</v>
      </c>
      <c r="O286" s="7">
        <v>812.689</v>
      </c>
      <c r="P286" s="7">
        <v>364.46</v>
      </c>
      <c r="Q286" s="7">
        <v>370.533</v>
      </c>
    </row>
    <row r="287" spans="1:17" ht="15.75">
      <c r="A287" s="96" t="s">
        <v>436</v>
      </c>
      <c r="B287" s="3">
        <v>215</v>
      </c>
      <c r="C287" s="7">
        <v>428.701</v>
      </c>
      <c r="D287" s="7">
        <v>454.951</v>
      </c>
      <c r="E287" s="7">
        <v>440.66</v>
      </c>
      <c r="F287" s="7">
        <v>423.481</v>
      </c>
      <c r="G287" s="7">
        <v>437.49</v>
      </c>
      <c r="H287" s="7">
        <v>324.716</v>
      </c>
      <c r="I287" s="7"/>
      <c r="J287" s="7">
        <v>379.808</v>
      </c>
      <c r="K287" s="7">
        <v>363.146</v>
      </c>
      <c r="L287" s="7">
        <v>229.279</v>
      </c>
      <c r="M287" s="7">
        <v>183.691</v>
      </c>
      <c r="N287" s="7">
        <v>439.561</v>
      </c>
      <c r="O287" s="7">
        <v>812.689</v>
      </c>
      <c r="P287" s="7">
        <v>364.46</v>
      </c>
      <c r="Q287" s="7">
        <v>370.533</v>
      </c>
    </row>
    <row r="288" spans="1:17" ht="15.75">
      <c r="A288" s="96" t="s">
        <v>435</v>
      </c>
      <c r="B288" s="3">
        <v>234</v>
      </c>
      <c r="C288" s="7">
        <v>363.994</v>
      </c>
      <c r="D288" s="7">
        <v>386.548</v>
      </c>
      <c r="E288" s="7">
        <v>412.114</v>
      </c>
      <c r="F288" s="7">
        <v>382.858</v>
      </c>
      <c r="G288" s="7">
        <v>406.718</v>
      </c>
      <c r="H288" s="7">
        <v>270.581</v>
      </c>
      <c r="I288" s="7"/>
      <c r="J288" s="7">
        <v>333.517</v>
      </c>
      <c r="K288" s="7">
        <v>325.31</v>
      </c>
      <c r="L288" s="7">
        <v>203.556</v>
      </c>
      <c r="M288" s="7">
        <v>158.042</v>
      </c>
      <c r="N288" s="7">
        <v>408.499</v>
      </c>
      <c r="O288" s="7">
        <v>824.343</v>
      </c>
      <c r="P288" s="7">
        <v>331.345</v>
      </c>
      <c r="Q288" s="7">
        <v>335.196</v>
      </c>
    </row>
    <row r="289" spans="1:17" ht="15.75">
      <c r="A289" s="96" t="s">
        <v>437</v>
      </c>
      <c r="B289" s="58">
        <v>9</v>
      </c>
      <c r="C289" s="59">
        <v>260.517</v>
      </c>
      <c r="D289" s="59">
        <v>277.693</v>
      </c>
      <c r="E289" s="59">
        <v>326.605</v>
      </c>
      <c r="F289" s="59">
        <v>304.4</v>
      </c>
      <c r="G289" s="59">
        <v>341.154</v>
      </c>
      <c r="H289" s="59">
        <v>228</v>
      </c>
      <c r="I289" s="59"/>
      <c r="J289" s="59">
        <v>268.305</v>
      </c>
      <c r="K289" s="59">
        <v>296.632</v>
      </c>
      <c r="L289" s="59">
        <v>184.713</v>
      </c>
      <c r="M289" s="59">
        <v>106.058</v>
      </c>
      <c r="N289" s="59">
        <v>332.224</v>
      </c>
      <c r="O289" s="59">
        <v>884.526</v>
      </c>
      <c r="P289" s="59">
        <v>254.427</v>
      </c>
      <c r="Q289" s="59">
        <v>258.871</v>
      </c>
    </row>
    <row r="290" spans="1:17" ht="15.75">
      <c r="A290" s="96" t="s">
        <v>438</v>
      </c>
      <c r="B290" s="58">
        <v>18</v>
      </c>
      <c r="C290" s="59">
        <v>212.009</v>
      </c>
      <c r="D290" s="59">
        <v>234.413</v>
      </c>
      <c r="E290" s="59">
        <v>278.694</v>
      </c>
      <c r="F290" s="59">
        <v>268.482</v>
      </c>
      <c r="G290" s="59">
        <v>289.211</v>
      </c>
      <c r="H290" s="59">
        <v>183.512</v>
      </c>
      <c r="I290" s="59"/>
      <c r="J290" s="59">
        <v>228.494</v>
      </c>
      <c r="K290" s="59">
        <v>257.83</v>
      </c>
      <c r="L290" s="59">
        <v>158.791</v>
      </c>
      <c r="M290" s="59">
        <v>91.157</v>
      </c>
      <c r="N290" s="59">
        <v>280.336</v>
      </c>
      <c r="O290" s="59">
        <v>928.519</v>
      </c>
      <c r="P290" s="59">
        <v>216.462</v>
      </c>
      <c r="Q290" s="59">
        <v>218.587</v>
      </c>
    </row>
    <row r="291" spans="1:17" ht="15.75">
      <c r="A291" s="96" t="s">
        <v>439</v>
      </c>
      <c r="B291" s="58">
        <v>25</v>
      </c>
      <c r="C291" s="59">
        <v>212.009</v>
      </c>
      <c r="D291" s="59">
        <v>234.413</v>
      </c>
      <c r="E291" s="59">
        <v>278.694</v>
      </c>
      <c r="F291" s="59">
        <v>268.482</v>
      </c>
      <c r="G291" s="59">
        <v>289.211</v>
      </c>
      <c r="H291" s="59">
        <v>183.512</v>
      </c>
      <c r="I291" s="59"/>
      <c r="J291" s="59">
        <v>228.494</v>
      </c>
      <c r="K291" s="59">
        <v>257.83</v>
      </c>
      <c r="L291" s="59">
        <v>158.791</v>
      </c>
      <c r="M291" s="59">
        <v>91.157</v>
      </c>
      <c r="N291" s="59">
        <v>280.336</v>
      </c>
      <c r="O291" s="59">
        <v>928.519</v>
      </c>
      <c r="P291" s="59">
        <v>216.462</v>
      </c>
      <c r="Q291" s="59">
        <v>218.587</v>
      </c>
    </row>
    <row r="292" spans="1:17" ht="15.75">
      <c r="A292" s="96" t="s">
        <v>440</v>
      </c>
      <c r="B292" s="58">
        <v>47</v>
      </c>
      <c r="C292" s="59">
        <v>253.819</v>
      </c>
      <c r="D292" s="59">
        <v>268.398</v>
      </c>
      <c r="E292" s="59">
        <v>298.319</v>
      </c>
      <c r="F292" s="59">
        <v>288.805</v>
      </c>
      <c r="G292" s="59">
        <v>299.806</v>
      </c>
      <c r="H292" s="59">
        <v>200.802</v>
      </c>
      <c r="I292" s="59"/>
      <c r="J292" s="59">
        <v>247.456</v>
      </c>
      <c r="K292" s="59">
        <v>219.998</v>
      </c>
      <c r="L292" s="59">
        <v>139.183</v>
      </c>
      <c r="M292" s="59">
        <v>96.823</v>
      </c>
      <c r="N292" s="59">
        <v>290.9</v>
      </c>
      <c r="O292" s="59">
        <v>506.05</v>
      </c>
      <c r="P292" s="59">
        <v>274.435</v>
      </c>
      <c r="Q292" s="59">
        <v>276.704</v>
      </c>
    </row>
    <row r="293" spans="1:17" ht="15.75">
      <c r="A293" s="96" t="s">
        <v>442</v>
      </c>
      <c r="B293" s="58">
        <v>67</v>
      </c>
      <c r="C293" s="59">
        <v>283.408</v>
      </c>
      <c r="D293" s="59">
        <v>299.339</v>
      </c>
      <c r="E293" s="59">
        <v>305.259</v>
      </c>
      <c r="F293" s="59">
        <v>279.173</v>
      </c>
      <c r="G293" s="59">
        <v>302.796</v>
      </c>
      <c r="H293" s="59">
        <v>205.109</v>
      </c>
      <c r="I293" s="59"/>
      <c r="J293" s="59">
        <v>244.248</v>
      </c>
      <c r="K293" s="59">
        <v>211.717</v>
      </c>
      <c r="L293" s="59">
        <v>134.951</v>
      </c>
      <c r="M293" s="59">
        <v>102.298</v>
      </c>
      <c r="N293" s="59">
        <v>293.92</v>
      </c>
      <c r="O293" s="59">
        <v>553.155</v>
      </c>
      <c r="P293" s="59">
        <v>277.433</v>
      </c>
      <c r="Q293" s="59">
        <v>280.523</v>
      </c>
    </row>
    <row r="294" spans="1:17" ht="15.75">
      <c r="A294" s="96" t="s">
        <v>443</v>
      </c>
      <c r="B294" s="58">
        <v>82</v>
      </c>
      <c r="C294" s="59">
        <v>283.837</v>
      </c>
      <c r="D294" s="59">
        <v>297.569</v>
      </c>
      <c r="E294" s="59">
        <v>282.794</v>
      </c>
      <c r="F294" s="59">
        <v>297.569</v>
      </c>
      <c r="G294" s="59">
        <v>282.61</v>
      </c>
      <c r="H294" s="59">
        <v>195.613</v>
      </c>
      <c r="I294" s="59"/>
      <c r="J294" s="59">
        <v>232.961</v>
      </c>
      <c r="K294" s="59">
        <v>206.176</v>
      </c>
      <c r="L294" s="59">
        <v>131.267</v>
      </c>
      <c r="M294" s="59">
        <v>93.401</v>
      </c>
      <c r="N294" s="59">
        <v>273.782</v>
      </c>
      <c r="O294" s="59">
        <v>541.361</v>
      </c>
      <c r="P294" s="59">
        <v>262.203</v>
      </c>
      <c r="Q294" s="59">
        <v>268.531</v>
      </c>
    </row>
    <row r="295" spans="1:17" ht="15.75">
      <c r="A295" s="96" t="s">
        <v>445</v>
      </c>
      <c r="B295" s="58">
        <v>102</v>
      </c>
      <c r="C295" s="59">
        <v>319.314</v>
      </c>
      <c r="D295" s="59">
        <v>340.359</v>
      </c>
      <c r="E295" s="59">
        <v>318.53</v>
      </c>
      <c r="F295" s="59">
        <v>302.662</v>
      </c>
      <c r="G295" s="59">
        <v>317.514</v>
      </c>
      <c r="H295" s="59">
        <v>220.221</v>
      </c>
      <c r="I295" s="59"/>
      <c r="J295" s="59">
        <v>263.799</v>
      </c>
      <c r="K295" s="59">
        <v>201.207</v>
      </c>
      <c r="L295" s="59">
        <v>130.518</v>
      </c>
      <c r="M295" s="59">
        <v>93.299</v>
      </c>
      <c r="N295" s="59">
        <v>308.708</v>
      </c>
      <c r="O295" s="59">
        <v>568.271</v>
      </c>
      <c r="P295" s="59">
        <v>290.027</v>
      </c>
      <c r="Q295" s="59">
        <v>296.349</v>
      </c>
    </row>
    <row r="296" spans="1:17" ht="15.75">
      <c r="A296" s="96" t="s">
        <v>448</v>
      </c>
      <c r="B296" s="58">
        <v>127</v>
      </c>
      <c r="C296" s="59">
        <v>344.584</v>
      </c>
      <c r="D296" s="59">
        <v>369.265</v>
      </c>
      <c r="E296" s="59">
        <v>302.423</v>
      </c>
      <c r="F296" s="59">
        <v>290.389</v>
      </c>
      <c r="G296" s="59">
        <v>305.472</v>
      </c>
      <c r="H296" s="59">
        <v>193.282</v>
      </c>
      <c r="I296" s="59"/>
      <c r="J296" s="59">
        <v>256.28</v>
      </c>
      <c r="K296" s="59">
        <v>173.134</v>
      </c>
      <c r="L296" s="59">
        <v>134.463</v>
      </c>
      <c r="M296" s="59">
        <v>64.066</v>
      </c>
      <c r="N296" s="59">
        <v>287.061</v>
      </c>
      <c r="O296" s="59">
        <v>496.992</v>
      </c>
      <c r="P296" s="59">
        <v>306.718</v>
      </c>
      <c r="Q296" s="59">
        <v>314.595</v>
      </c>
    </row>
    <row r="297" spans="1:17" ht="15.75">
      <c r="A297" s="96" t="s">
        <v>449</v>
      </c>
      <c r="B297" s="58">
        <v>147</v>
      </c>
      <c r="C297" s="59">
        <v>347.63</v>
      </c>
      <c r="D297" s="59">
        <v>373.565</v>
      </c>
      <c r="E297" s="59">
        <v>281.495</v>
      </c>
      <c r="F297" s="59">
        <v>275.445</v>
      </c>
      <c r="G297" s="59">
        <v>282.091</v>
      </c>
      <c r="H297" s="59">
        <v>176.943</v>
      </c>
      <c r="I297" s="59"/>
      <c r="J297" s="59">
        <v>283.153</v>
      </c>
      <c r="K297" s="59">
        <v>190.558</v>
      </c>
      <c r="L297" s="59">
        <v>140.867</v>
      </c>
      <c r="M297" s="59">
        <v>59.382</v>
      </c>
      <c r="N297" s="59">
        <v>263.79</v>
      </c>
      <c r="O297" s="59">
        <v>508.769</v>
      </c>
      <c r="P297" s="59">
        <v>261.009</v>
      </c>
      <c r="Q297" s="59">
        <v>271.399</v>
      </c>
    </row>
    <row r="298" spans="1:17" ht="15.75">
      <c r="A298" s="96" t="s">
        <v>450</v>
      </c>
      <c r="B298" s="58">
        <v>152</v>
      </c>
      <c r="C298" s="59">
        <v>347.63</v>
      </c>
      <c r="D298" s="59">
        <v>373.565</v>
      </c>
      <c r="E298" s="59">
        <v>281.495</v>
      </c>
      <c r="F298" s="59">
        <v>275.445</v>
      </c>
      <c r="G298" s="59">
        <v>282.091</v>
      </c>
      <c r="H298" s="59">
        <v>176.943</v>
      </c>
      <c r="I298" s="59"/>
      <c r="J298" s="59">
        <v>283.153</v>
      </c>
      <c r="K298" s="59">
        <v>190.558</v>
      </c>
      <c r="L298" s="59">
        <v>140.867</v>
      </c>
      <c r="M298" s="59">
        <v>59.382</v>
      </c>
      <c r="N298" s="59">
        <v>263.79</v>
      </c>
      <c r="O298" s="59">
        <v>508.769</v>
      </c>
      <c r="P298" s="59">
        <v>261.009</v>
      </c>
      <c r="Q298" s="59">
        <v>271.399</v>
      </c>
    </row>
    <row r="299" spans="1:17" ht="15.75">
      <c r="A299" s="96" t="s">
        <v>451</v>
      </c>
      <c r="B299" s="58">
        <v>167</v>
      </c>
      <c r="C299" s="59">
        <v>350.631</v>
      </c>
      <c r="D299" s="59">
        <v>376.79</v>
      </c>
      <c r="E299" s="59">
        <v>283.975</v>
      </c>
      <c r="F299" s="59">
        <v>277.702</v>
      </c>
      <c r="G299" s="59">
        <v>284.455</v>
      </c>
      <c r="H299" s="59">
        <v>178.62</v>
      </c>
      <c r="I299" s="59"/>
      <c r="J299" s="59">
        <v>240.16</v>
      </c>
      <c r="K299" s="59">
        <v>192.441</v>
      </c>
      <c r="L299" s="59">
        <v>142.078</v>
      </c>
      <c r="M299" s="59">
        <v>60.015</v>
      </c>
      <c r="N299" s="59">
        <v>266.157</v>
      </c>
      <c r="O299" s="59">
        <v>513.501</v>
      </c>
      <c r="P299" s="59">
        <v>263.187</v>
      </c>
      <c r="Q299" s="59">
        <v>273.677</v>
      </c>
    </row>
    <row r="300" spans="1:17" ht="15.75">
      <c r="A300" s="96" t="s">
        <v>452</v>
      </c>
      <c r="B300" s="58">
        <v>171</v>
      </c>
      <c r="C300" s="59">
        <v>311.59</v>
      </c>
      <c r="D300" s="59">
        <v>332.81</v>
      </c>
      <c r="E300" s="59">
        <v>255.68</v>
      </c>
      <c r="F300" s="59">
        <v>139.25</v>
      </c>
      <c r="G300" s="59">
        <v>258.8</v>
      </c>
      <c r="H300" s="59">
        <v>142.19</v>
      </c>
      <c r="I300" s="59"/>
      <c r="J300" s="59">
        <v>207.44</v>
      </c>
      <c r="K300" s="59">
        <v>198.47</v>
      </c>
      <c r="L300" s="59">
        <v>144.11</v>
      </c>
      <c r="M300" s="59">
        <v>64.15</v>
      </c>
      <c r="N300" s="59">
        <v>240.57</v>
      </c>
      <c r="O300" s="59">
        <v>513.501</v>
      </c>
      <c r="P300" s="59">
        <v>225.54</v>
      </c>
      <c r="Q300" s="59">
        <v>229.19</v>
      </c>
    </row>
    <row r="301" spans="1:17" ht="15.75">
      <c r="A301" s="96" t="s">
        <v>453</v>
      </c>
      <c r="B301" s="58">
        <v>190</v>
      </c>
      <c r="C301" s="59">
        <v>248.33</v>
      </c>
      <c r="D301" s="59">
        <v>260.75</v>
      </c>
      <c r="E301" s="59">
        <v>262.95</v>
      </c>
      <c r="F301" s="59">
        <v>250.74</v>
      </c>
      <c r="G301" s="59">
        <v>264.96</v>
      </c>
      <c r="H301" s="59">
        <v>138.81</v>
      </c>
      <c r="I301" s="59"/>
      <c r="J301" s="59">
        <v>210.4</v>
      </c>
      <c r="K301" s="59">
        <v>203.28</v>
      </c>
      <c r="L301" s="59">
        <v>146.29</v>
      </c>
      <c r="M301" s="59">
        <v>75.28</v>
      </c>
      <c r="N301" s="59">
        <v>246.72</v>
      </c>
      <c r="O301" s="59">
        <v>438.08</v>
      </c>
      <c r="P301" s="59">
        <v>227.87</v>
      </c>
      <c r="Q301" s="59">
        <v>232.59</v>
      </c>
    </row>
    <row r="302" spans="1:17" ht="15.75">
      <c r="A302" s="96" t="s">
        <v>454</v>
      </c>
      <c r="B302" s="58">
        <v>204</v>
      </c>
      <c r="C302" s="59">
        <v>247.05</v>
      </c>
      <c r="D302" s="59">
        <v>247.05</v>
      </c>
      <c r="E302" s="59">
        <v>261.59</v>
      </c>
      <c r="F302" s="59">
        <v>249.52</v>
      </c>
      <c r="G302" s="59">
        <v>263.66</v>
      </c>
      <c r="H302" s="59">
        <v>138.03</v>
      </c>
      <c r="I302" s="59"/>
      <c r="J302" s="59">
        <v>209.36</v>
      </c>
      <c r="K302" s="59">
        <v>202.11</v>
      </c>
      <c r="L302" s="59">
        <v>145.56</v>
      </c>
      <c r="M302" s="59">
        <v>74.86</v>
      </c>
      <c r="N302" s="59">
        <v>245.42</v>
      </c>
      <c r="O302" s="59">
        <v>435.63</v>
      </c>
      <c r="P302" s="59">
        <v>226.76</v>
      </c>
      <c r="Q302" s="59">
        <v>231.45</v>
      </c>
    </row>
    <row r="303" spans="1:17" ht="15.75">
      <c r="A303" s="96" t="s">
        <v>455</v>
      </c>
      <c r="B303" s="58">
        <v>209</v>
      </c>
      <c r="C303" s="59">
        <v>246.65</v>
      </c>
      <c r="D303" s="59">
        <v>258.77</v>
      </c>
      <c r="E303" s="59">
        <v>254.09</v>
      </c>
      <c r="F303" s="59">
        <v>251.84</v>
      </c>
      <c r="G303" s="59">
        <v>261.56</v>
      </c>
      <c r="H303" s="59">
        <v>131.71</v>
      </c>
      <c r="I303" s="59"/>
      <c r="J303" s="59">
        <v>207.52</v>
      </c>
      <c r="K303" s="59">
        <v>169.23</v>
      </c>
      <c r="L303" s="59">
        <v>126.51</v>
      </c>
      <c r="M303" s="59">
        <v>86.42</v>
      </c>
      <c r="N303" s="59">
        <v>243.09</v>
      </c>
      <c r="O303" s="59">
        <v>430.37</v>
      </c>
      <c r="P303" s="59">
        <v>224.71</v>
      </c>
      <c r="Q303" s="59">
        <v>229.25</v>
      </c>
    </row>
    <row r="304" spans="1:17" ht="15.75">
      <c r="A304" s="96" t="s">
        <v>457</v>
      </c>
      <c r="B304" s="58">
        <v>216</v>
      </c>
      <c r="C304" s="59">
        <v>246.65</v>
      </c>
      <c r="D304" s="59">
        <v>258.77</v>
      </c>
      <c r="E304" s="59">
        <v>254.09</v>
      </c>
      <c r="F304" s="59">
        <v>251.84</v>
      </c>
      <c r="G304" s="59">
        <v>261.56</v>
      </c>
      <c r="H304" s="59">
        <v>131.71</v>
      </c>
      <c r="I304" s="59"/>
      <c r="J304" s="59">
        <v>207.52</v>
      </c>
      <c r="K304" s="59">
        <v>169.23</v>
      </c>
      <c r="L304" s="59">
        <v>126.51</v>
      </c>
      <c r="M304" s="59">
        <v>86.42</v>
      </c>
      <c r="N304" s="59">
        <v>243.09</v>
      </c>
      <c r="O304" s="59">
        <v>430.37</v>
      </c>
      <c r="P304" s="59">
        <v>224.71</v>
      </c>
      <c r="Q304" s="59">
        <v>229.25</v>
      </c>
    </row>
    <row r="305" spans="1:17" ht="15.75">
      <c r="A305" s="96" t="s">
        <v>459</v>
      </c>
      <c r="B305" s="58">
        <v>25</v>
      </c>
      <c r="C305" s="59">
        <v>246.65</v>
      </c>
      <c r="D305" s="59">
        <v>258.77</v>
      </c>
      <c r="E305" s="59">
        <v>254.09</v>
      </c>
      <c r="F305" s="59">
        <v>251.84</v>
      </c>
      <c r="G305" s="59">
        <v>261.56</v>
      </c>
      <c r="H305" s="59">
        <v>131.71</v>
      </c>
      <c r="I305" s="59"/>
      <c r="J305" s="59">
        <v>207.52</v>
      </c>
      <c r="K305" s="59">
        <v>169.23</v>
      </c>
      <c r="L305" s="59">
        <v>126.51</v>
      </c>
      <c r="M305" s="59">
        <v>86.42</v>
      </c>
      <c r="N305" s="59">
        <v>243.09</v>
      </c>
      <c r="O305" s="59">
        <v>430.37</v>
      </c>
      <c r="P305" s="59">
        <v>224.71</v>
      </c>
      <c r="Q305" s="59">
        <v>229.25</v>
      </c>
    </row>
    <row r="306" spans="1:17" ht="15.75">
      <c r="A306" s="96" t="s">
        <v>460</v>
      </c>
      <c r="B306" s="58">
        <v>28</v>
      </c>
      <c r="C306" s="59">
        <v>249.57</v>
      </c>
      <c r="D306" s="59">
        <v>258.65</v>
      </c>
      <c r="E306" s="59">
        <v>258.43</v>
      </c>
      <c r="F306" s="59">
        <v>213.94</v>
      </c>
      <c r="G306" s="59">
        <v>249.82</v>
      </c>
      <c r="H306" s="59">
        <v>135.63</v>
      </c>
      <c r="I306" s="59"/>
      <c r="J306" s="59">
        <v>217.27</v>
      </c>
      <c r="K306" s="59">
        <v>181.85</v>
      </c>
      <c r="L306" s="59">
        <v>114.3</v>
      </c>
      <c r="M306" s="59">
        <v>86.32</v>
      </c>
      <c r="N306" s="59">
        <v>290.72</v>
      </c>
      <c r="O306" s="59">
        <v>648.59</v>
      </c>
      <c r="P306" s="59">
        <v>224.71</v>
      </c>
      <c r="Q306" s="59">
        <v>223.71</v>
      </c>
    </row>
    <row r="307" spans="1:17" ht="15.75">
      <c r="A307" s="96" t="s">
        <v>461</v>
      </c>
      <c r="B307" s="58">
        <v>31</v>
      </c>
      <c r="C307" s="59">
        <v>134.76</v>
      </c>
      <c r="D307" s="59">
        <v>144.58</v>
      </c>
      <c r="E307" s="59">
        <v>151.29</v>
      </c>
      <c r="F307" s="59">
        <v>144.23</v>
      </c>
      <c r="G307" s="59">
        <v>189.49</v>
      </c>
      <c r="H307" s="59">
        <v>81.6</v>
      </c>
      <c r="I307" s="59">
        <v>116.54</v>
      </c>
      <c r="J307" s="59">
        <v>157.66</v>
      </c>
      <c r="K307" s="59">
        <v>235.59</v>
      </c>
      <c r="L307" s="59">
        <v>139.39</v>
      </c>
      <c r="M307" s="59">
        <v>67.61</v>
      </c>
      <c r="N307" s="59">
        <v>242.87</v>
      </c>
      <c r="O307" s="59">
        <v>445.72</v>
      </c>
      <c r="P307" s="59">
        <v>224.71</v>
      </c>
      <c r="Q307" s="59">
        <v>169</v>
      </c>
    </row>
    <row r="308" spans="1:17" ht="15.75">
      <c r="A308" s="96" t="s">
        <v>462</v>
      </c>
      <c r="B308" s="58">
        <v>51</v>
      </c>
      <c r="C308" s="59">
        <v>156.13</v>
      </c>
      <c r="D308" s="59">
        <v>162.54</v>
      </c>
      <c r="E308" s="59">
        <v>163.84</v>
      </c>
      <c r="F308" s="59">
        <v>152.02</v>
      </c>
      <c r="G308" s="59">
        <v>194.42</v>
      </c>
      <c r="H308" s="59">
        <v>86.98</v>
      </c>
      <c r="I308" s="59">
        <v>125.76</v>
      </c>
      <c r="J308" s="59">
        <v>163.93</v>
      </c>
      <c r="K308" s="59">
        <v>227.49</v>
      </c>
      <c r="L308" s="59">
        <v>135.35</v>
      </c>
      <c r="M308" s="59">
        <v>78.15</v>
      </c>
      <c r="N308" s="59">
        <v>247.55</v>
      </c>
      <c r="O308" s="59">
        <v>464.36</v>
      </c>
      <c r="P308" s="59">
        <v>224.71</v>
      </c>
      <c r="Q308" s="59">
        <v>199.92</v>
      </c>
    </row>
    <row r="309" spans="1:17" ht="15.75">
      <c r="A309" s="96" t="s">
        <v>463</v>
      </c>
      <c r="B309" s="58">
        <v>81</v>
      </c>
      <c r="C309" s="59">
        <v>194.45</v>
      </c>
      <c r="D309" s="59">
        <v>202.51</v>
      </c>
      <c r="E309" s="59">
        <v>154.49</v>
      </c>
      <c r="F309" s="59">
        <v>151.59</v>
      </c>
      <c r="G309" s="59">
        <v>194.4</v>
      </c>
      <c r="H309" s="59">
        <v>91.64</v>
      </c>
      <c r="I309" s="59">
        <v>127.36</v>
      </c>
      <c r="J309" s="59">
        <v>164.69</v>
      </c>
      <c r="K309" s="59">
        <v>222.66</v>
      </c>
      <c r="L309" s="59">
        <v>133.08</v>
      </c>
      <c r="M309" s="59">
        <v>76.39</v>
      </c>
      <c r="N309" s="59">
        <v>192.05</v>
      </c>
      <c r="O309" s="59">
        <v>556.49</v>
      </c>
      <c r="P309" s="59">
        <v>224.71</v>
      </c>
      <c r="Q309" s="59">
        <v>195.67</v>
      </c>
    </row>
    <row r="310" spans="1:17" ht="15.75">
      <c r="A310" s="95" t="s">
        <v>465</v>
      </c>
      <c r="B310" s="58">
        <v>86</v>
      </c>
      <c r="C310" s="59">
        <v>194.45</v>
      </c>
      <c r="D310" s="59">
        <v>202.51</v>
      </c>
      <c r="E310" s="59">
        <v>154.49</v>
      </c>
      <c r="F310" s="59">
        <v>151.59</v>
      </c>
      <c r="G310" s="59">
        <v>194.4</v>
      </c>
      <c r="H310" s="59">
        <v>91.64</v>
      </c>
      <c r="I310" s="59">
        <v>127.36</v>
      </c>
      <c r="J310" s="59">
        <v>164.69</v>
      </c>
      <c r="K310" s="59">
        <v>222.66</v>
      </c>
      <c r="L310" s="59">
        <v>133.08</v>
      </c>
      <c r="M310" s="59">
        <v>76.39</v>
      </c>
      <c r="N310" s="59">
        <v>192.05</v>
      </c>
      <c r="O310" s="59">
        <v>556.49</v>
      </c>
      <c r="P310" s="59">
        <v>224.71</v>
      </c>
      <c r="Q310" s="59">
        <v>195.67</v>
      </c>
    </row>
    <row r="311" spans="1:17" ht="15.75">
      <c r="A311" s="95" t="s">
        <v>485</v>
      </c>
      <c r="B311" s="58">
        <v>106</v>
      </c>
      <c r="C311" s="59">
        <v>209.36</v>
      </c>
      <c r="D311" s="59">
        <v>218.8</v>
      </c>
      <c r="E311" s="59">
        <v>186.1</v>
      </c>
      <c r="F311" s="59">
        <v>187.25</v>
      </c>
      <c r="G311" s="59">
        <v>220.71</v>
      </c>
      <c r="H311" s="59">
        <v>119.3</v>
      </c>
      <c r="I311" s="59">
        <v>160.24</v>
      </c>
      <c r="J311" s="59">
        <v>192.53</v>
      </c>
      <c r="K311" s="59">
        <v>120.08</v>
      </c>
      <c r="L311" s="59">
        <v>78.23</v>
      </c>
      <c r="M311" s="59">
        <v>88.77</v>
      </c>
      <c r="N311" s="59">
        <v>218.31</v>
      </c>
      <c r="O311" s="59">
        <v>570.61</v>
      </c>
      <c r="P311" s="59">
        <v>224.71</v>
      </c>
      <c r="Q311" s="59">
        <v>216.51</v>
      </c>
    </row>
    <row r="312" spans="1:17" ht="15.75">
      <c r="A312" s="95" t="s">
        <v>488</v>
      </c>
      <c r="B312" s="58">
        <v>126</v>
      </c>
      <c r="C312" s="59">
        <v>285.81</v>
      </c>
      <c r="D312" s="59">
        <v>302.61</v>
      </c>
      <c r="E312" s="59">
        <v>256.89</v>
      </c>
      <c r="F312" s="59">
        <v>212.97</v>
      </c>
      <c r="G312" s="59">
        <v>247.27</v>
      </c>
      <c r="H312" s="59">
        <v>136.64</v>
      </c>
      <c r="I312" s="59">
        <v>182.5</v>
      </c>
      <c r="J312" s="59">
        <v>215.64</v>
      </c>
      <c r="K312" s="59">
        <v>134.7</v>
      </c>
      <c r="L312" s="59">
        <v>86.86</v>
      </c>
      <c r="M312" s="59">
        <v>91.54</v>
      </c>
      <c r="N312" s="59">
        <v>336.34</v>
      </c>
      <c r="O312" s="59">
        <v>336.34</v>
      </c>
      <c r="P312" s="59">
        <v>224.71</v>
      </c>
      <c r="Q312" s="59">
        <v>216.61</v>
      </c>
    </row>
    <row r="313" spans="1:17" ht="15.75">
      <c r="A313" s="95" t="s">
        <v>489</v>
      </c>
      <c r="B313" s="122">
        <v>146</v>
      </c>
      <c r="C313" s="123">
        <v>272.94</v>
      </c>
      <c r="D313" s="123">
        <v>289.4</v>
      </c>
      <c r="E313" s="123">
        <v>253.46</v>
      </c>
      <c r="F313" s="123">
        <v>209.34</v>
      </c>
      <c r="G313" s="123">
        <v>246.41</v>
      </c>
      <c r="H313" s="123">
        <v>141.8</v>
      </c>
      <c r="I313" s="123">
        <v>184.25</v>
      </c>
      <c r="J313" s="123">
        <v>215.03</v>
      </c>
      <c r="K313" s="123">
        <v>142.52</v>
      </c>
      <c r="L313" s="123">
        <v>91.67</v>
      </c>
      <c r="M313" s="123">
        <v>94.3</v>
      </c>
      <c r="N313" s="123">
        <v>335.44</v>
      </c>
      <c r="O313" s="123">
        <v>681.66</v>
      </c>
      <c r="P313" s="123">
        <v>224.71</v>
      </c>
      <c r="Q313" s="123">
        <v>220.92</v>
      </c>
    </row>
    <row r="314" spans="1:17" ht="15.75">
      <c r="A314" s="95" t="s">
        <v>490</v>
      </c>
      <c r="B314" s="122">
        <v>150</v>
      </c>
      <c r="C314" s="123">
        <v>272.94</v>
      </c>
      <c r="D314" s="123">
        <v>289.4</v>
      </c>
      <c r="E314" s="123">
        <v>253.46</v>
      </c>
      <c r="F314" s="123">
        <v>209.34</v>
      </c>
      <c r="G314" s="123">
        <v>246.41</v>
      </c>
      <c r="H314" s="123">
        <v>141.8</v>
      </c>
      <c r="I314" s="123">
        <v>184.25</v>
      </c>
      <c r="J314" s="123">
        <v>215.03</v>
      </c>
      <c r="K314" s="123">
        <v>142.25</v>
      </c>
      <c r="L314" s="123">
        <v>91.67</v>
      </c>
      <c r="M314" s="123">
        <v>94.3</v>
      </c>
      <c r="N314" s="123">
        <v>335.44</v>
      </c>
      <c r="O314" s="123">
        <v>681.66</v>
      </c>
      <c r="P314" s="123">
        <v>224.71</v>
      </c>
      <c r="Q314" s="123">
        <v>220.92</v>
      </c>
    </row>
    <row r="315" spans="1:17" ht="15">
      <c r="A315" s="77" t="s">
        <v>491</v>
      </c>
      <c r="B315" s="122">
        <v>167</v>
      </c>
      <c r="C315" s="123">
        <v>251.66</v>
      </c>
      <c r="D315" s="123">
        <v>265.94</v>
      </c>
      <c r="E315" s="123">
        <v>248.75</v>
      </c>
      <c r="F315" s="123">
        <v>181.59</v>
      </c>
      <c r="G315" s="123">
        <v>221.13</v>
      </c>
      <c r="H315" s="123">
        <v>125.72</v>
      </c>
      <c r="I315" s="123">
        <v>162.77</v>
      </c>
      <c r="J315" s="123">
        <v>195.17</v>
      </c>
      <c r="K315" s="123">
        <v>128.29</v>
      </c>
      <c r="L315" s="123">
        <v>83.41</v>
      </c>
      <c r="M315" s="123">
        <v>80.6</v>
      </c>
      <c r="N315" s="123">
        <v>305.03</v>
      </c>
      <c r="O315" s="123">
        <v>623.62</v>
      </c>
      <c r="P315" s="123">
        <v>224.71</v>
      </c>
      <c r="Q315" s="123">
        <v>209.7</v>
      </c>
    </row>
    <row r="316" spans="1:17" ht="15">
      <c r="A316" s="77" t="s">
        <v>492</v>
      </c>
      <c r="B316" s="122">
        <v>186</v>
      </c>
      <c r="C316" s="123">
        <v>264.37</v>
      </c>
      <c r="D316" s="123">
        <v>278.99</v>
      </c>
      <c r="E316" s="123">
        <v>272.99</v>
      </c>
      <c r="F316" s="123">
        <v>206.7</v>
      </c>
      <c r="G316" s="123">
        <v>245.49</v>
      </c>
      <c r="H316" s="123">
        <v>146.43</v>
      </c>
      <c r="I316" s="123">
        <v>186.78</v>
      </c>
      <c r="J316" s="123">
        <v>216.98</v>
      </c>
      <c r="K316" s="123">
        <v>119.56</v>
      </c>
      <c r="L316" s="123">
        <v>80.44</v>
      </c>
      <c r="M316" s="123">
        <v>87.48</v>
      </c>
      <c r="N316" s="123">
        <v>329.31</v>
      </c>
      <c r="O316" s="123">
        <v>646.56</v>
      </c>
      <c r="P316" s="123">
        <v>224.71</v>
      </c>
      <c r="Q316" s="123">
        <v>217.14</v>
      </c>
    </row>
    <row r="317" spans="1:17" ht="15">
      <c r="A317" s="77" t="s">
        <v>493</v>
      </c>
      <c r="B317" s="122">
        <v>226</v>
      </c>
      <c r="C317" s="123">
        <v>264.37</v>
      </c>
      <c r="D317" s="123">
        <v>278.99</v>
      </c>
      <c r="E317" s="123">
        <v>272.99</v>
      </c>
      <c r="F317" s="123">
        <v>206.7</v>
      </c>
      <c r="G317" s="123">
        <v>245.49</v>
      </c>
      <c r="H317" s="123">
        <v>146.43</v>
      </c>
      <c r="I317" s="123">
        <v>186.78</v>
      </c>
      <c r="J317" s="123">
        <v>216.98</v>
      </c>
      <c r="K317" s="123">
        <v>119.56</v>
      </c>
      <c r="L317" s="123">
        <v>80.44</v>
      </c>
      <c r="M317" s="123">
        <v>87.48</v>
      </c>
      <c r="N317" s="123">
        <v>329.31</v>
      </c>
      <c r="O317" s="123">
        <v>646.56</v>
      </c>
      <c r="P317" s="123">
        <v>224.71</v>
      </c>
      <c r="Q317" s="123">
        <v>217.14</v>
      </c>
    </row>
    <row r="318" spans="1:17" ht="15">
      <c r="A318" s="77" t="s">
        <v>494</v>
      </c>
      <c r="B318" s="122">
        <v>228</v>
      </c>
      <c r="C318" s="123">
        <v>234.43</v>
      </c>
      <c r="D318" s="123">
        <v>260.24</v>
      </c>
      <c r="E318" s="123">
        <v>232.29</v>
      </c>
      <c r="F318" s="123">
        <v>211.09</v>
      </c>
      <c r="G318" s="123">
        <v>245.93</v>
      </c>
      <c r="H318" s="123">
        <v>154.29</v>
      </c>
      <c r="I318" s="123">
        <v>193</v>
      </c>
      <c r="J318" s="123">
        <v>220.18</v>
      </c>
      <c r="K318" s="123">
        <v>138.37</v>
      </c>
      <c r="L318" s="123">
        <v>91.7</v>
      </c>
      <c r="M318" s="123">
        <v>102.72</v>
      </c>
      <c r="N318" s="123">
        <v>288.23</v>
      </c>
      <c r="O318" s="123">
        <v>606.82</v>
      </c>
      <c r="P318" s="123">
        <v>209.7</v>
      </c>
      <c r="Q318" s="123">
        <v>221.35</v>
      </c>
    </row>
    <row r="319" spans="1:17" ht="15">
      <c r="A319" s="77" t="s">
        <v>496</v>
      </c>
      <c r="B319" s="122">
        <v>4</v>
      </c>
      <c r="C319" s="123">
        <v>270.6</v>
      </c>
      <c r="D319" s="123">
        <v>290.69</v>
      </c>
      <c r="E319" s="123">
        <v>280.28</v>
      </c>
      <c r="F319" s="123">
        <v>219.05</v>
      </c>
      <c r="G319" s="123">
        <v>257.63</v>
      </c>
      <c r="H319" s="123">
        <v>172.89</v>
      </c>
      <c r="I319" s="123">
        <v>210.37</v>
      </c>
      <c r="J319" s="123">
        <v>234.95</v>
      </c>
      <c r="K319" s="123">
        <v>147.66</v>
      </c>
      <c r="L319" s="123">
        <v>147.66</v>
      </c>
      <c r="M319" s="123">
        <v>113.38</v>
      </c>
      <c r="N319" s="123">
        <v>307.58</v>
      </c>
      <c r="O319" s="123">
        <v>635.02</v>
      </c>
      <c r="P319" s="123">
        <v>224.71</v>
      </c>
      <c r="Q319" s="123">
        <v>245.02</v>
      </c>
    </row>
    <row r="320" spans="1:17" ht="15">
      <c r="A320" s="77" t="s">
        <v>498</v>
      </c>
      <c r="B320" s="129">
        <v>24</v>
      </c>
      <c r="C320" s="128">
        <v>299.05</v>
      </c>
      <c r="D320" s="128">
        <v>317.41</v>
      </c>
      <c r="E320" s="128">
        <v>294.06</v>
      </c>
      <c r="F320" s="128">
        <v>239.82</v>
      </c>
      <c r="G320" s="128">
        <v>274.94</v>
      </c>
      <c r="H320" s="128">
        <v>192.92</v>
      </c>
      <c r="I320" s="128">
        <v>229.32</v>
      </c>
      <c r="J320" s="128">
        <v>253.53</v>
      </c>
      <c r="K320" s="128">
        <v>174.93</v>
      </c>
      <c r="L320" s="128">
        <v>115.73</v>
      </c>
      <c r="M320" s="128">
        <v>134.18</v>
      </c>
      <c r="N320" s="128">
        <v>324.93</v>
      </c>
      <c r="O320" s="128">
        <v>667.74</v>
      </c>
      <c r="P320" s="128">
        <v>224.71</v>
      </c>
      <c r="Q320" s="128">
        <v>257.44</v>
      </c>
    </row>
    <row r="321" spans="1:17" ht="15">
      <c r="A321" s="77" t="s">
        <v>499</v>
      </c>
      <c r="B321" s="129">
        <v>26</v>
      </c>
      <c r="C321" s="128">
        <v>299.05</v>
      </c>
      <c r="D321" s="128">
        <v>317.41</v>
      </c>
      <c r="E321" s="128">
        <v>294.06</v>
      </c>
      <c r="F321" s="128">
        <v>239.82</v>
      </c>
      <c r="G321" s="128">
        <v>274.94</v>
      </c>
      <c r="H321" s="128">
        <v>192.92</v>
      </c>
      <c r="I321" s="128">
        <v>229.32</v>
      </c>
      <c r="J321" s="128">
        <v>253.53</v>
      </c>
      <c r="K321" s="128">
        <v>174.93</v>
      </c>
      <c r="L321" s="128">
        <v>115.73</v>
      </c>
      <c r="M321" s="128">
        <v>134.18</v>
      </c>
      <c r="N321" s="128">
        <v>324.93</v>
      </c>
      <c r="O321" s="128">
        <v>667.74</v>
      </c>
      <c r="P321" s="128">
        <v>224.71</v>
      </c>
      <c r="Q321" s="128">
        <v>257.44</v>
      </c>
    </row>
    <row r="322" spans="1:17" ht="15">
      <c r="A322" s="77" t="s">
        <v>501</v>
      </c>
      <c r="B322" s="122">
        <v>43</v>
      </c>
      <c r="C322" s="123">
        <v>275.49</v>
      </c>
      <c r="D322" s="123">
        <v>291.03</v>
      </c>
      <c r="E322" s="123">
        <v>289.18</v>
      </c>
      <c r="F322" s="123">
        <v>239.65</v>
      </c>
      <c r="G322" s="123">
        <v>277.61</v>
      </c>
      <c r="H322" s="123">
        <v>189.39</v>
      </c>
      <c r="I322" s="123">
        <v>226.79</v>
      </c>
      <c r="J322" s="123">
        <v>250.58</v>
      </c>
      <c r="K322" s="123">
        <v>191.17</v>
      </c>
      <c r="L322" s="123">
        <v>124.49</v>
      </c>
      <c r="M322" s="123">
        <v>162.22</v>
      </c>
      <c r="N322" s="123">
        <v>354.83</v>
      </c>
      <c r="O322" s="123">
        <v>656.56</v>
      </c>
      <c r="P322" s="123">
        <v>224.71</v>
      </c>
      <c r="Q322" s="123">
        <v>264.24</v>
      </c>
    </row>
    <row r="323" spans="1:17" ht="15">
      <c r="A323" s="77" t="s">
        <v>502</v>
      </c>
      <c r="B323" s="122">
        <v>52</v>
      </c>
      <c r="C323" s="123">
        <v>277.84</v>
      </c>
      <c r="D323" s="123">
        <v>295.44</v>
      </c>
      <c r="E323" s="123">
        <v>280.6</v>
      </c>
      <c r="F323" s="123">
        <v>254.66</v>
      </c>
      <c r="G323" s="123">
        <v>286.66</v>
      </c>
      <c r="H323" s="123">
        <v>189.39</v>
      </c>
      <c r="I323" s="123">
        <v>226.79</v>
      </c>
      <c r="J323" s="123">
        <v>249.37</v>
      </c>
      <c r="K323" s="123">
        <v>191.17</v>
      </c>
      <c r="L323" s="123">
        <v>124.49</v>
      </c>
      <c r="M323" s="123">
        <v>162.22</v>
      </c>
      <c r="N323" s="123">
        <v>355.13</v>
      </c>
      <c r="O323" s="123">
        <v>636.62</v>
      </c>
      <c r="P323" s="123">
        <v>224.71</v>
      </c>
      <c r="Q323" s="123">
        <v>260.55</v>
      </c>
    </row>
    <row r="324" spans="1:17" ht="15">
      <c r="A324" s="77" t="s">
        <v>503</v>
      </c>
      <c r="B324" s="122">
        <v>64</v>
      </c>
      <c r="C324" s="123">
        <v>279.35</v>
      </c>
      <c r="D324" s="123">
        <v>297.84</v>
      </c>
      <c r="E324" s="123">
        <v>279.5</v>
      </c>
      <c r="F324" s="123">
        <v>252.02</v>
      </c>
      <c r="G324" s="123">
        <v>284.59</v>
      </c>
      <c r="H324" s="123">
        <v>192.11</v>
      </c>
      <c r="I324" s="123">
        <v>229.15</v>
      </c>
      <c r="J324" s="123">
        <v>250.59</v>
      </c>
      <c r="K324" s="123">
        <v>205.76</v>
      </c>
      <c r="L324" s="123">
        <v>132.91</v>
      </c>
      <c r="M324" s="123">
        <v>120.56</v>
      </c>
      <c r="N324" s="123">
        <v>353.03</v>
      </c>
      <c r="O324" s="123">
        <v>643.37</v>
      </c>
      <c r="P324" s="123">
        <v>224.71</v>
      </c>
      <c r="Q324" s="123">
        <v>241.48</v>
      </c>
    </row>
    <row r="325" spans="1:17" ht="15">
      <c r="A325" s="77" t="s">
        <v>504</v>
      </c>
      <c r="B325" s="122">
        <v>83</v>
      </c>
      <c r="C325" s="123">
        <v>303.87</v>
      </c>
      <c r="D325" s="123">
        <v>318.29</v>
      </c>
      <c r="E325" s="123">
        <v>273.78</v>
      </c>
      <c r="F325" s="123">
        <v>247.75</v>
      </c>
      <c r="G325" s="123">
        <v>287.87</v>
      </c>
      <c r="H325" s="123">
        <v>185.71</v>
      </c>
      <c r="I325" s="123">
        <v>223.4</v>
      </c>
      <c r="J325" s="123">
        <v>247.28</v>
      </c>
      <c r="K325" s="123">
        <v>194.64</v>
      </c>
      <c r="L325" s="123">
        <v>126.09</v>
      </c>
      <c r="M325" s="123">
        <v>118.91</v>
      </c>
      <c r="N325" s="123">
        <v>335.76</v>
      </c>
      <c r="O325" s="123">
        <v>660.49</v>
      </c>
      <c r="P325" s="123">
        <v>224.71</v>
      </c>
      <c r="Q325" s="123">
        <v>236.63</v>
      </c>
    </row>
    <row r="326" spans="1:17" ht="15">
      <c r="A326" s="77" t="s">
        <v>505</v>
      </c>
      <c r="B326" s="122">
        <v>101</v>
      </c>
      <c r="C326" s="123">
        <v>275.64</v>
      </c>
      <c r="D326" s="123">
        <v>293.5</v>
      </c>
      <c r="E326" s="123">
        <v>253.71</v>
      </c>
      <c r="F326" s="123">
        <v>231.48</v>
      </c>
      <c r="G326" s="123">
        <v>262.2</v>
      </c>
      <c r="H326" s="123">
        <v>176.47</v>
      </c>
      <c r="I326" s="123">
        <v>209.06</v>
      </c>
      <c r="J326" s="123">
        <v>233.51</v>
      </c>
      <c r="K326" s="123">
        <v>192.15</v>
      </c>
      <c r="L326" s="123">
        <v>123.84</v>
      </c>
      <c r="M326" s="123">
        <v>116.16</v>
      </c>
      <c r="N326" s="123">
        <v>313.03</v>
      </c>
      <c r="O326" s="123">
        <v>647.98</v>
      </c>
      <c r="P326" s="123">
        <v>224.71</v>
      </c>
      <c r="Q326" s="123">
        <v>221.31</v>
      </c>
    </row>
    <row r="327" spans="1:17" ht="15">
      <c r="A327" s="77" t="s">
        <v>506</v>
      </c>
      <c r="B327" s="122">
        <v>122</v>
      </c>
      <c r="C327" s="123">
        <v>266.34</v>
      </c>
      <c r="D327" s="123">
        <v>280.61</v>
      </c>
      <c r="E327" s="123">
        <v>246.76</v>
      </c>
      <c r="F327" s="123">
        <v>232.04</v>
      </c>
      <c r="G327" s="123">
        <v>262.21</v>
      </c>
      <c r="H327" s="123">
        <v>180.97</v>
      </c>
      <c r="I327" s="123">
        <v>213.57</v>
      </c>
      <c r="J327" s="123">
        <v>232.12</v>
      </c>
      <c r="K327" s="123">
        <v>192.15</v>
      </c>
      <c r="L327" s="123">
        <v>123.22</v>
      </c>
      <c r="M327" s="123">
        <v>115.28</v>
      </c>
      <c r="N327" s="123">
        <v>299.99</v>
      </c>
      <c r="O327" s="123">
        <v>642.64</v>
      </c>
      <c r="P327" s="123">
        <v>224.71</v>
      </c>
      <c r="Q327" s="123">
        <v>219.89</v>
      </c>
    </row>
    <row r="328" spans="1:17" ht="15">
      <c r="A328" s="77" t="s">
        <v>507</v>
      </c>
      <c r="B328" s="122">
        <v>145</v>
      </c>
      <c r="C328" s="123">
        <v>260.87</v>
      </c>
      <c r="D328" s="123">
        <v>271.67</v>
      </c>
      <c r="E328" s="123">
        <v>252.28</v>
      </c>
      <c r="F328" s="123">
        <v>228.7</v>
      </c>
      <c r="G328" s="123">
        <v>263.04</v>
      </c>
      <c r="H328" s="123">
        <v>180.78</v>
      </c>
      <c r="I328" s="123">
        <v>211.93</v>
      </c>
      <c r="J328" s="123">
        <v>230.65</v>
      </c>
      <c r="K328" s="123">
        <v>178.36</v>
      </c>
      <c r="L328" s="123">
        <v>116.26</v>
      </c>
      <c r="M328" s="123">
        <v>114.69</v>
      </c>
      <c r="N328" s="123">
        <v>300.83</v>
      </c>
      <c r="O328" s="123">
        <v>619.74</v>
      </c>
      <c r="P328" s="123">
        <v>224.71</v>
      </c>
      <c r="Q328" s="123">
        <v>219.44</v>
      </c>
    </row>
    <row r="329" spans="1:17" ht="15">
      <c r="A329" s="77" t="s">
        <v>508</v>
      </c>
      <c r="B329" s="122">
        <v>148</v>
      </c>
      <c r="C329" s="123">
        <v>260.87</v>
      </c>
      <c r="D329" s="123">
        <v>271.67</v>
      </c>
      <c r="E329" s="123">
        <v>252.28</v>
      </c>
      <c r="F329" s="123">
        <v>228.7</v>
      </c>
      <c r="G329" s="123">
        <v>263.04</v>
      </c>
      <c r="H329" s="123">
        <v>180.78</v>
      </c>
      <c r="I329" s="123">
        <v>211.93</v>
      </c>
      <c r="J329" s="123">
        <v>230.65</v>
      </c>
      <c r="K329" s="123">
        <v>178.36</v>
      </c>
      <c r="L329" s="123">
        <v>116.26</v>
      </c>
      <c r="M329" s="123">
        <v>114.69</v>
      </c>
      <c r="N329" s="123">
        <v>300.83</v>
      </c>
      <c r="O329" s="123">
        <v>619.74</v>
      </c>
      <c r="P329" s="123">
        <v>224.71</v>
      </c>
      <c r="Q329" s="123">
        <v>219.44</v>
      </c>
    </row>
    <row r="330" spans="1:17" ht="15">
      <c r="A330" s="77" t="s">
        <v>509</v>
      </c>
      <c r="B330" s="122">
        <v>164</v>
      </c>
      <c r="C330" s="123">
        <v>282.2</v>
      </c>
      <c r="D330" s="123">
        <v>296.89</v>
      </c>
      <c r="E330" s="123">
        <v>295.77</v>
      </c>
      <c r="F330" s="123">
        <v>251.84</v>
      </c>
      <c r="G330" s="123">
        <v>292.03</v>
      </c>
      <c r="H330" s="123">
        <v>195.41</v>
      </c>
      <c r="I330" s="123">
        <v>233.8</v>
      </c>
      <c r="J330" s="123">
        <v>249.93</v>
      </c>
      <c r="K330" s="123">
        <v>184.49</v>
      </c>
      <c r="L330" s="123">
        <v>121.31</v>
      </c>
      <c r="M330" s="123">
        <v>138.56</v>
      </c>
      <c r="N330" s="123">
        <v>341.49</v>
      </c>
      <c r="O330" s="123">
        <v>644.23</v>
      </c>
      <c r="P330" s="123">
        <v>224.71</v>
      </c>
      <c r="Q330" s="123">
        <v>238.62</v>
      </c>
    </row>
    <row r="331" spans="1:17" ht="15">
      <c r="A331" s="77" t="s">
        <v>510</v>
      </c>
      <c r="B331" s="122">
        <v>183</v>
      </c>
      <c r="C331" s="123">
        <v>308.76</v>
      </c>
      <c r="D331" s="123">
        <v>326.91</v>
      </c>
      <c r="E331" s="123">
        <v>310.56</v>
      </c>
      <c r="F331" s="123">
        <v>263.9</v>
      </c>
      <c r="G331" s="123">
        <v>331.46</v>
      </c>
      <c r="H331" s="123">
        <v>198.69</v>
      </c>
      <c r="I331" s="123">
        <v>242.65</v>
      </c>
      <c r="J331" s="123">
        <v>258.13</v>
      </c>
      <c r="K331" s="123">
        <v>194.96</v>
      </c>
      <c r="L331" s="123">
        <v>127.47</v>
      </c>
      <c r="M331" s="123">
        <v>149.19</v>
      </c>
      <c r="N331" s="123">
        <v>372.88</v>
      </c>
      <c r="O331" s="123">
        <v>653.12</v>
      </c>
      <c r="P331" s="123">
        <v>224.71</v>
      </c>
      <c r="Q331" s="123">
        <v>270.66</v>
      </c>
    </row>
    <row r="332" spans="1:17" ht="15">
      <c r="A332" s="77" t="s">
        <v>511</v>
      </c>
      <c r="B332" s="122">
        <v>205</v>
      </c>
      <c r="C332" s="123">
        <v>285.92</v>
      </c>
      <c r="D332" s="123">
        <v>299.22</v>
      </c>
      <c r="E332" s="123">
        <v>316.1</v>
      </c>
      <c r="F332" s="123">
        <v>266.23</v>
      </c>
      <c r="G332" s="123">
        <v>307.63</v>
      </c>
      <c r="H332" s="123">
        <v>201.14</v>
      </c>
      <c r="I332" s="123">
        <v>245.98</v>
      </c>
      <c r="J332" s="123">
        <v>261.37</v>
      </c>
      <c r="K332" s="123">
        <v>192.1</v>
      </c>
      <c r="L332" s="123">
        <v>126.09</v>
      </c>
      <c r="M332" s="123">
        <v>169.04</v>
      </c>
      <c r="N332" s="123">
        <v>355.82</v>
      </c>
      <c r="O332" s="123">
        <v>633.74</v>
      </c>
      <c r="P332" s="123">
        <v>224.71</v>
      </c>
      <c r="Q332" s="123">
        <v>253.65</v>
      </c>
    </row>
    <row r="333" spans="1:17" ht="15">
      <c r="A333" s="77" t="s">
        <v>512</v>
      </c>
      <c r="B333" s="122">
        <v>210</v>
      </c>
      <c r="C333" s="123">
        <v>285.92</v>
      </c>
      <c r="D333" s="123">
        <v>299.22</v>
      </c>
      <c r="E333" s="123">
        <v>316.1</v>
      </c>
      <c r="F333" s="123">
        <v>266.23</v>
      </c>
      <c r="G333" s="123">
        <v>307.63</v>
      </c>
      <c r="H333" s="123">
        <v>201.14</v>
      </c>
      <c r="I333" s="123">
        <v>245.98</v>
      </c>
      <c r="J333" s="123">
        <v>261.37</v>
      </c>
      <c r="K333" s="123">
        <v>192.1</v>
      </c>
      <c r="L333" s="123">
        <v>126.09</v>
      </c>
      <c r="M333" s="123">
        <v>169.04</v>
      </c>
      <c r="N333" s="123">
        <v>355.82</v>
      </c>
      <c r="O333" s="123">
        <v>633.74</v>
      </c>
      <c r="P333" s="123">
        <v>224.71</v>
      </c>
      <c r="Q333" s="123">
        <v>253.65</v>
      </c>
    </row>
    <row r="334" spans="1:17" ht="15">
      <c r="A334" s="77" t="s">
        <v>513</v>
      </c>
      <c r="B334" s="122">
        <v>225</v>
      </c>
      <c r="C334" s="123">
        <v>310.48</v>
      </c>
      <c r="D334" s="123">
        <v>322.2</v>
      </c>
      <c r="E334" s="123">
        <v>329</v>
      </c>
      <c r="F334" s="123">
        <v>287.63</v>
      </c>
      <c r="G334" s="123">
        <v>318.41</v>
      </c>
      <c r="H334" s="123">
        <v>228.79</v>
      </c>
      <c r="I334" s="123">
        <v>269.17</v>
      </c>
      <c r="J334" s="123">
        <v>283.14</v>
      </c>
      <c r="K334" s="123">
        <v>193.64</v>
      </c>
      <c r="L334" s="123">
        <v>129.52</v>
      </c>
      <c r="M334" s="123">
        <v>172.4</v>
      </c>
      <c r="N334" s="123">
        <v>366.58</v>
      </c>
      <c r="O334" s="123">
        <v>646.38</v>
      </c>
      <c r="P334" s="123">
        <v>224.71</v>
      </c>
      <c r="Q334" s="123">
        <v>275.29</v>
      </c>
    </row>
    <row r="335" spans="1:17" ht="15">
      <c r="A335" s="77" t="s">
        <v>514</v>
      </c>
      <c r="B335" s="122">
        <v>242</v>
      </c>
      <c r="C335" s="123">
        <v>298.46</v>
      </c>
      <c r="D335" s="123">
        <v>298.05</v>
      </c>
      <c r="E335" s="123">
        <v>316.88</v>
      </c>
      <c r="F335" s="123">
        <v>289.18</v>
      </c>
      <c r="G335" s="123">
        <v>325.48</v>
      </c>
      <c r="H335" s="123">
        <v>223.93</v>
      </c>
      <c r="I335" s="123">
        <v>265.6</v>
      </c>
      <c r="J335" s="123">
        <v>283.74</v>
      </c>
      <c r="K335" s="123">
        <v>206.13</v>
      </c>
      <c r="L335" s="123">
        <v>132.29</v>
      </c>
      <c r="M335" s="123">
        <v>173.46</v>
      </c>
      <c r="N335" s="123">
        <v>351</v>
      </c>
      <c r="O335" s="123">
        <v>634.75</v>
      </c>
      <c r="P335" s="123">
        <v>224.71</v>
      </c>
      <c r="Q335" s="123">
        <v>272.12</v>
      </c>
    </row>
    <row r="336" spans="1:17" ht="15">
      <c r="A336" s="77" t="s">
        <v>515</v>
      </c>
      <c r="B336" s="122">
        <v>18</v>
      </c>
      <c r="C336" s="123">
        <v>310.36</v>
      </c>
      <c r="D336" s="123">
        <v>320.3</v>
      </c>
      <c r="E336" s="123">
        <v>337.75</v>
      </c>
      <c r="F336" s="123">
        <v>313.18</v>
      </c>
      <c r="G336" s="123">
        <v>349.37</v>
      </c>
      <c r="H336" s="123">
        <v>235.2</v>
      </c>
      <c r="I336" s="123">
        <v>282.63</v>
      </c>
      <c r="J336" s="123">
        <v>300.49</v>
      </c>
      <c r="K336" s="123">
        <v>215.77</v>
      </c>
      <c r="L336" s="123">
        <v>142.49</v>
      </c>
      <c r="M336" s="123">
        <v>168.52</v>
      </c>
      <c r="N336" s="123">
        <v>374.99</v>
      </c>
      <c r="O336" s="123">
        <v>649.39</v>
      </c>
      <c r="P336" s="123">
        <v>224.71</v>
      </c>
      <c r="Q336" s="123">
        <v>284.77</v>
      </c>
    </row>
    <row r="337" spans="1:17" ht="15">
      <c r="A337" s="77" t="s">
        <v>517</v>
      </c>
      <c r="B337" s="122">
        <v>22</v>
      </c>
      <c r="C337" s="123">
        <v>310.36</v>
      </c>
      <c r="D337" s="123">
        <v>320.3</v>
      </c>
      <c r="E337" s="123">
        <v>337.75</v>
      </c>
      <c r="F337" s="123">
        <v>313.18</v>
      </c>
      <c r="G337" s="123">
        <v>349.37</v>
      </c>
      <c r="H337" s="123">
        <v>235.2</v>
      </c>
      <c r="I337" s="123">
        <v>282.63</v>
      </c>
      <c r="J337" s="123">
        <v>300.49</v>
      </c>
      <c r="K337" s="123">
        <v>215.77</v>
      </c>
      <c r="L337" s="123">
        <v>142.49</v>
      </c>
      <c r="M337" s="123">
        <v>168.52</v>
      </c>
      <c r="N337" s="123">
        <v>374.99</v>
      </c>
      <c r="O337" s="123">
        <v>649.39</v>
      </c>
      <c r="P337" s="123">
        <v>224.71</v>
      </c>
      <c r="Q337" s="123">
        <v>284.77</v>
      </c>
    </row>
    <row r="338" spans="1:17" ht="15">
      <c r="A338" s="77" t="s">
        <v>519</v>
      </c>
      <c r="B338" s="122">
        <v>39</v>
      </c>
      <c r="C338" s="123">
        <v>326.52</v>
      </c>
      <c r="D338" s="123">
        <v>344.25</v>
      </c>
      <c r="E338" s="123">
        <v>346.81</v>
      </c>
      <c r="F338" s="123">
        <v>310.88</v>
      </c>
      <c r="G338" s="123">
        <v>350.9</v>
      </c>
      <c r="H338" s="123">
        <v>235.28</v>
      </c>
      <c r="I338" s="123">
        <v>285.08</v>
      </c>
      <c r="J338" s="123">
        <v>297.72</v>
      </c>
      <c r="K338" s="123">
        <v>236.47</v>
      </c>
      <c r="L338" s="123">
        <v>154.08</v>
      </c>
      <c r="M338" s="123">
        <v>150.74</v>
      </c>
      <c r="N338" s="123">
        <v>387.95</v>
      </c>
      <c r="O338" s="123">
        <v>675.44</v>
      </c>
      <c r="P338" s="123">
        <v>224.71</v>
      </c>
      <c r="Q338" s="123">
        <v>295.66</v>
      </c>
    </row>
    <row r="339" spans="1:17" ht="15">
      <c r="A339" s="77" t="s">
        <v>521</v>
      </c>
      <c r="B339" s="122">
        <v>58</v>
      </c>
      <c r="C339" s="123">
        <v>316.73</v>
      </c>
      <c r="D339" s="123">
        <v>333.5</v>
      </c>
      <c r="E339" s="123">
        <v>331.96</v>
      </c>
      <c r="F339" s="123">
        <v>310.88</v>
      </c>
      <c r="G339" s="123">
        <v>336.45</v>
      </c>
      <c r="H339" s="123">
        <v>224.38</v>
      </c>
      <c r="I339" s="123">
        <v>262.21</v>
      </c>
      <c r="J339" s="123">
        <v>277.25</v>
      </c>
      <c r="K339" s="123">
        <v>236.54</v>
      </c>
      <c r="L339" s="123">
        <v>153.12</v>
      </c>
      <c r="M339" s="123">
        <v>147.34</v>
      </c>
      <c r="N339" s="123">
        <v>374.21</v>
      </c>
      <c r="O339" s="123">
        <v>669.94</v>
      </c>
      <c r="P339" s="123">
        <v>224.71</v>
      </c>
      <c r="Q339" s="123">
        <v>308.62</v>
      </c>
    </row>
    <row r="340" spans="1:17" ht="15">
      <c r="A340" s="77" t="s">
        <v>523</v>
      </c>
      <c r="B340" s="122">
        <v>77</v>
      </c>
      <c r="C340" s="123">
        <v>333.58</v>
      </c>
      <c r="D340" s="123">
        <v>352.01</v>
      </c>
      <c r="E340" s="123">
        <v>340.75</v>
      </c>
      <c r="F340" s="123">
        <v>310.88</v>
      </c>
      <c r="G340" s="123">
        <v>350.58</v>
      </c>
      <c r="H340" s="123">
        <v>230.17</v>
      </c>
      <c r="I340" s="123">
        <v>271.74</v>
      </c>
      <c r="J340" s="123">
        <v>289.12</v>
      </c>
      <c r="K340" s="123">
        <v>240.26</v>
      </c>
      <c r="L340" s="123">
        <v>155.8</v>
      </c>
      <c r="M340" s="123">
        <v>140.05</v>
      </c>
      <c r="N340" s="123">
        <v>363.02</v>
      </c>
      <c r="O340" s="123">
        <v>706.62</v>
      </c>
      <c r="P340" s="123">
        <v>224.71</v>
      </c>
      <c r="Q340" s="123">
        <v>325.2</v>
      </c>
    </row>
    <row r="341" spans="1:17" ht="15">
      <c r="A341" s="77" t="s">
        <v>524</v>
      </c>
      <c r="B341" s="122">
        <v>96</v>
      </c>
      <c r="C341" s="123">
        <v>353.67</v>
      </c>
      <c r="D341" s="123">
        <v>369.49</v>
      </c>
      <c r="E341" s="123">
        <v>362.06</v>
      </c>
      <c r="F341" s="123">
        <v>310.88</v>
      </c>
      <c r="G341" s="123">
        <v>371.42</v>
      </c>
      <c r="H341" s="123">
        <v>256.39</v>
      </c>
      <c r="I341" s="123">
        <v>297.98</v>
      </c>
      <c r="J341" s="123">
        <v>309.75</v>
      </c>
      <c r="K341" s="123">
        <v>263.52</v>
      </c>
      <c r="L341" s="123">
        <v>171.17</v>
      </c>
      <c r="M341" s="123">
        <v>160.83</v>
      </c>
      <c r="N341" s="123">
        <v>383.75</v>
      </c>
      <c r="O341" s="123">
        <v>723.86</v>
      </c>
      <c r="P341" s="123">
        <v>224.71</v>
      </c>
      <c r="Q341" s="123">
        <v>346.26</v>
      </c>
    </row>
    <row r="342" spans="1:17" ht="15">
      <c r="A342" s="77" t="s">
        <v>527</v>
      </c>
      <c r="B342" s="122">
        <v>116</v>
      </c>
      <c r="C342" s="123">
        <v>353.46</v>
      </c>
      <c r="D342" s="123">
        <v>366.77</v>
      </c>
      <c r="E342" s="123">
        <v>356.29</v>
      </c>
      <c r="F342" s="123">
        <v>310.88</v>
      </c>
      <c r="G342" s="123">
        <v>376.05</v>
      </c>
      <c r="H342" s="123">
        <v>267.18</v>
      </c>
      <c r="I342" s="123">
        <v>306.68</v>
      </c>
      <c r="J342" s="123">
        <v>315.56</v>
      </c>
      <c r="K342" s="123">
        <v>289.42</v>
      </c>
      <c r="L342" s="123">
        <v>186.7</v>
      </c>
      <c r="M342" s="123">
        <v>164.45</v>
      </c>
      <c r="N342" s="123">
        <v>408.9</v>
      </c>
      <c r="O342" s="123">
        <v>697.74</v>
      </c>
      <c r="P342" s="123">
        <v>224.71</v>
      </c>
      <c r="Q342" s="123">
        <v>350.14</v>
      </c>
    </row>
    <row r="343" spans="1:17" ht="15">
      <c r="A343" s="77" t="s">
        <v>529</v>
      </c>
      <c r="B343" s="122">
        <v>139</v>
      </c>
      <c r="C343" s="123">
        <v>354.07</v>
      </c>
      <c r="D343" s="123">
        <v>364.48</v>
      </c>
      <c r="E343" s="123">
        <v>353.89</v>
      </c>
      <c r="F343" s="123">
        <v>310.88</v>
      </c>
      <c r="G343" s="123">
        <v>374.97</v>
      </c>
      <c r="H343" s="123">
        <v>285.41</v>
      </c>
      <c r="I343" s="123">
        <v>318.11</v>
      </c>
      <c r="J343" s="123">
        <v>322.21</v>
      </c>
      <c r="K343" s="123">
        <v>310</v>
      </c>
      <c r="L343" s="123">
        <v>199.98</v>
      </c>
      <c r="M343" s="123">
        <v>177.56</v>
      </c>
      <c r="N343" s="123">
        <v>407.99</v>
      </c>
      <c r="O343" s="123">
        <v>677.28</v>
      </c>
      <c r="P343" s="123">
        <v>224.71</v>
      </c>
      <c r="Q343" s="123">
        <v>349.7</v>
      </c>
    </row>
    <row r="344" spans="1:17" ht="15">
      <c r="A344" s="77" t="s">
        <v>531</v>
      </c>
      <c r="B344" s="122">
        <v>160</v>
      </c>
      <c r="C344" s="123">
        <v>362.68</v>
      </c>
      <c r="D344" s="123">
        <v>368.76</v>
      </c>
      <c r="E344" s="123">
        <v>363.81</v>
      </c>
      <c r="F344" s="123">
        <v>310.88</v>
      </c>
      <c r="G344" s="123">
        <v>375.08</v>
      </c>
      <c r="H344" s="123">
        <v>269.65</v>
      </c>
      <c r="I344" s="123">
        <v>305.77</v>
      </c>
      <c r="J344" s="123">
        <v>319.11</v>
      </c>
      <c r="K344" s="123">
        <v>311.85</v>
      </c>
      <c r="L344" s="123">
        <v>199.44</v>
      </c>
      <c r="M344" s="123">
        <v>179.91</v>
      </c>
      <c r="N344" s="123">
        <v>414.01</v>
      </c>
      <c r="O344" s="123">
        <v>670.96</v>
      </c>
      <c r="P344" s="123">
        <v>224.71</v>
      </c>
      <c r="Q344" s="123">
        <v>347.64</v>
      </c>
    </row>
    <row r="345" spans="1:17" ht="15">
      <c r="A345" s="77" t="s">
        <v>533</v>
      </c>
      <c r="B345" s="122">
        <v>182</v>
      </c>
      <c r="C345" s="123">
        <v>362.71</v>
      </c>
      <c r="D345" s="123">
        <v>368.11</v>
      </c>
      <c r="E345" s="123">
        <v>384.86</v>
      </c>
      <c r="F345" s="123">
        <v>310.88</v>
      </c>
      <c r="G345" s="123">
        <v>394.07</v>
      </c>
      <c r="H345" s="123">
        <v>277.38</v>
      </c>
      <c r="I345" s="123">
        <v>319.52</v>
      </c>
      <c r="J345" s="123">
        <v>334.9</v>
      </c>
      <c r="K345" s="123">
        <v>316.82</v>
      </c>
      <c r="L345" s="123">
        <v>202.94</v>
      </c>
      <c r="M345" s="123">
        <v>197.79</v>
      </c>
      <c r="N345" s="123">
        <v>432.91</v>
      </c>
      <c r="O345" s="123">
        <v>670.09</v>
      </c>
      <c r="P345" s="123">
        <v>224.71</v>
      </c>
      <c r="Q345" s="123">
        <v>362.53</v>
      </c>
    </row>
    <row r="346" spans="1:17" ht="15">
      <c r="A346" s="77" t="s">
        <v>535</v>
      </c>
      <c r="B346" s="122">
        <v>203</v>
      </c>
      <c r="C346" s="123">
        <v>371.94</v>
      </c>
      <c r="D346" s="123">
        <v>381.15</v>
      </c>
      <c r="E346" s="123">
        <v>396.9</v>
      </c>
      <c r="F346" s="123">
        <v>310.88</v>
      </c>
      <c r="G346" s="123">
        <v>415.34</v>
      </c>
      <c r="H346" s="123">
        <v>308.91</v>
      </c>
      <c r="I346" s="123">
        <v>351.65</v>
      </c>
      <c r="J346" s="123">
        <v>361.12</v>
      </c>
      <c r="K346" s="123">
        <v>310.08</v>
      </c>
      <c r="L346" s="123">
        <v>202.08</v>
      </c>
      <c r="M346" s="123">
        <v>199.84</v>
      </c>
      <c r="N346" s="123">
        <v>446.02</v>
      </c>
      <c r="O346" s="123">
        <v>717.93</v>
      </c>
      <c r="P346" s="123">
        <v>224.71</v>
      </c>
      <c r="Q346" s="123">
        <v>385.22</v>
      </c>
    </row>
    <row r="347" spans="1:17" ht="15">
      <c r="A347" s="77" t="s">
        <v>536</v>
      </c>
      <c r="B347" s="122">
        <v>210</v>
      </c>
      <c r="C347" s="123">
        <v>371.94</v>
      </c>
      <c r="D347" s="123">
        <v>381.15</v>
      </c>
      <c r="E347" s="123">
        <v>396.9</v>
      </c>
      <c r="F347" s="123">
        <v>310.88</v>
      </c>
      <c r="G347" s="123">
        <v>415.34</v>
      </c>
      <c r="H347" s="123">
        <v>308.91</v>
      </c>
      <c r="I347" s="123">
        <v>351.65</v>
      </c>
      <c r="J347" s="123">
        <v>361.12</v>
      </c>
      <c r="K347" s="123">
        <v>310.08</v>
      </c>
      <c r="L347" s="123">
        <v>202.08</v>
      </c>
      <c r="M347" s="123">
        <v>199.84</v>
      </c>
      <c r="N347" s="123">
        <v>446.02</v>
      </c>
      <c r="O347" s="123">
        <v>717.93</v>
      </c>
      <c r="P347" s="123">
        <v>224.71</v>
      </c>
      <c r="Q347" s="123">
        <v>385.22</v>
      </c>
    </row>
    <row r="348" spans="1:17" ht="15">
      <c r="A348" s="77" t="s">
        <v>537</v>
      </c>
      <c r="B348" s="122">
        <v>221</v>
      </c>
      <c r="C348" s="123">
        <v>323.87</v>
      </c>
      <c r="D348" s="123">
        <v>323.51</v>
      </c>
      <c r="E348" s="123">
        <v>384.71</v>
      </c>
      <c r="F348" s="123">
        <v>310.88</v>
      </c>
      <c r="G348" s="123">
        <v>405.77</v>
      </c>
      <c r="H348" s="123">
        <v>305.62</v>
      </c>
      <c r="I348" s="123">
        <v>345.24</v>
      </c>
      <c r="J348" s="123">
        <v>353.97</v>
      </c>
      <c r="K348" s="123">
        <v>301.82</v>
      </c>
      <c r="L348" s="123">
        <v>197.16</v>
      </c>
      <c r="M348" s="123">
        <v>162.03</v>
      </c>
      <c r="N348" s="123">
        <v>436.42</v>
      </c>
      <c r="O348" s="123">
        <v>689.81</v>
      </c>
      <c r="P348" s="123">
        <v>224.71</v>
      </c>
      <c r="Q348" s="123">
        <v>366.32</v>
      </c>
    </row>
    <row r="349" spans="1:17" ht="15">
      <c r="A349" s="77" t="s">
        <v>538</v>
      </c>
      <c r="B349" s="122">
        <v>6</v>
      </c>
      <c r="C349" s="123">
        <v>279.39</v>
      </c>
      <c r="D349" s="123">
        <v>282.25</v>
      </c>
      <c r="E349" s="123">
        <v>331.81</v>
      </c>
      <c r="F349" s="123">
        <v>310.88</v>
      </c>
      <c r="G349" s="123">
        <v>337.74</v>
      </c>
      <c r="H349" s="123">
        <v>244.16</v>
      </c>
      <c r="I349" s="123">
        <v>274.21</v>
      </c>
      <c r="J349" s="123">
        <v>286.77</v>
      </c>
      <c r="K349" s="123">
        <v>241.71</v>
      </c>
      <c r="L349" s="123">
        <v>157.84</v>
      </c>
      <c r="M349" s="123">
        <v>135.21</v>
      </c>
      <c r="N349" s="123">
        <v>371.6</v>
      </c>
      <c r="O349" s="123">
        <v>631.06</v>
      </c>
      <c r="P349" s="123">
        <v>224.71</v>
      </c>
      <c r="Q349" s="123">
        <v>299.53</v>
      </c>
    </row>
    <row r="350" spans="1:17" ht="15">
      <c r="A350" s="77" t="s">
        <v>539</v>
      </c>
      <c r="B350" s="122">
        <v>22</v>
      </c>
      <c r="C350" s="123">
        <v>263.56</v>
      </c>
      <c r="D350" s="123">
        <v>266.76</v>
      </c>
      <c r="E350" s="123">
        <v>321.63</v>
      </c>
      <c r="F350" s="123">
        <v>310.88</v>
      </c>
      <c r="G350" s="123">
        <v>331.82</v>
      </c>
      <c r="H350" s="123">
        <v>233.09</v>
      </c>
      <c r="I350" s="123">
        <v>263.39</v>
      </c>
      <c r="J350" s="123">
        <v>277.25</v>
      </c>
      <c r="K350" s="123">
        <v>220.39</v>
      </c>
      <c r="L350" s="123">
        <v>144.88</v>
      </c>
      <c r="M350" s="123">
        <v>125.85</v>
      </c>
      <c r="N350" s="123">
        <v>365.71</v>
      </c>
      <c r="O350" s="123">
        <v>605.08</v>
      </c>
      <c r="P350" s="123">
        <v>224.71</v>
      </c>
      <c r="Q350" s="123">
        <v>290.82</v>
      </c>
    </row>
    <row r="351" spans="1:17" ht="15">
      <c r="A351" s="77" t="s">
        <v>540</v>
      </c>
      <c r="B351" s="122">
        <v>27</v>
      </c>
      <c r="C351" s="123">
        <v>263.56</v>
      </c>
      <c r="D351" s="123">
        <v>266.76</v>
      </c>
      <c r="E351" s="123">
        <v>321.63</v>
      </c>
      <c r="F351" s="123">
        <v>310.88</v>
      </c>
      <c r="G351" s="123">
        <v>331.82</v>
      </c>
      <c r="H351" s="123">
        <v>233.09</v>
      </c>
      <c r="I351" s="123">
        <v>263.39</v>
      </c>
      <c r="J351" s="123">
        <v>277.25</v>
      </c>
      <c r="K351" s="123">
        <v>220.39</v>
      </c>
      <c r="L351" s="123">
        <v>144.88</v>
      </c>
      <c r="M351" s="123">
        <v>125.85</v>
      </c>
      <c r="N351" s="123">
        <v>365.71</v>
      </c>
      <c r="O351" s="123">
        <v>605.08</v>
      </c>
      <c r="P351" s="123">
        <v>224.71</v>
      </c>
      <c r="Q351" s="123">
        <v>290.82</v>
      </c>
    </row>
    <row r="352" spans="1:17" ht="15">
      <c r="A352" s="77" t="s">
        <v>541</v>
      </c>
      <c r="B352" s="122">
        <v>41</v>
      </c>
      <c r="C352" s="123">
        <v>260.85</v>
      </c>
      <c r="D352" s="123">
        <v>265.58</v>
      </c>
      <c r="E352" s="123">
        <v>322.25</v>
      </c>
      <c r="F352" s="123">
        <v>310.88</v>
      </c>
      <c r="G352" s="123">
        <v>352.3</v>
      </c>
      <c r="H352" s="123">
        <v>264.52</v>
      </c>
      <c r="I352" s="123">
        <v>295.43</v>
      </c>
      <c r="J352" s="123">
        <v>299.68</v>
      </c>
      <c r="K352" s="123">
        <v>260.81</v>
      </c>
      <c r="L352" s="123">
        <v>170.41</v>
      </c>
      <c r="M352" s="123">
        <v>135.18</v>
      </c>
      <c r="N352" s="123">
        <v>361.73</v>
      </c>
      <c r="O352" s="123">
        <v>615.46</v>
      </c>
      <c r="P352" s="123">
        <v>224.71</v>
      </c>
      <c r="Q352" s="123">
        <v>313.89</v>
      </c>
    </row>
    <row r="353" spans="1:17" ht="15">
      <c r="A353" s="77" t="s">
        <v>542</v>
      </c>
      <c r="B353" s="122">
        <v>63</v>
      </c>
      <c r="C353" s="123">
        <v>297.37</v>
      </c>
      <c r="D353" s="123">
        <v>302.37</v>
      </c>
      <c r="E353" s="123">
        <v>338.67</v>
      </c>
      <c r="F353" s="123">
        <v>310.88</v>
      </c>
      <c r="G353" s="123">
        <v>361.34</v>
      </c>
      <c r="H353" s="123">
        <v>289.94</v>
      </c>
      <c r="I353" s="123">
        <v>319.65</v>
      </c>
      <c r="J353" s="123">
        <v>318.42</v>
      </c>
      <c r="K353" s="123">
        <v>305.27</v>
      </c>
      <c r="L353" s="123">
        <v>197.64</v>
      </c>
      <c r="M353" s="123">
        <v>135.68</v>
      </c>
      <c r="N353" s="123">
        <v>370.78</v>
      </c>
      <c r="O353" s="123">
        <v>647.71</v>
      </c>
      <c r="P353" s="123">
        <v>224.71</v>
      </c>
      <c r="Q353" s="123">
        <v>331.37</v>
      </c>
    </row>
    <row r="354" spans="1:17" ht="15">
      <c r="A354" s="77" t="s">
        <v>543</v>
      </c>
      <c r="B354" s="122">
        <v>81</v>
      </c>
      <c r="C354" s="123">
        <v>365.01</v>
      </c>
      <c r="D354" s="123">
        <v>375.39</v>
      </c>
      <c r="E354" s="123">
        <v>364.35</v>
      </c>
      <c r="F354" s="123">
        <v>310.88</v>
      </c>
      <c r="G354" s="123">
        <v>366.22</v>
      </c>
      <c r="H354" s="123">
        <v>288.27</v>
      </c>
      <c r="I354" s="123">
        <v>318.45</v>
      </c>
      <c r="J354" s="123">
        <v>320.48</v>
      </c>
      <c r="K354" s="123">
        <v>332.8</v>
      </c>
      <c r="L354" s="123">
        <v>212.89</v>
      </c>
      <c r="M354" s="123">
        <v>123.37</v>
      </c>
      <c r="N354" s="123">
        <v>400.26</v>
      </c>
      <c r="O354" s="123">
        <v>723.88</v>
      </c>
      <c r="P354" s="123">
        <v>224.71</v>
      </c>
      <c r="Q354" s="123">
        <v>343.21</v>
      </c>
    </row>
    <row r="355" spans="1:17" ht="15">
      <c r="A355" s="77" t="s">
        <v>544</v>
      </c>
      <c r="B355" s="122">
        <v>100</v>
      </c>
      <c r="C355" s="123">
        <v>360.46</v>
      </c>
      <c r="D355" s="123">
        <v>368.57</v>
      </c>
      <c r="E355" s="123">
        <v>367.18</v>
      </c>
      <c r="F355" s="123">
        <v>142.75</v>
      </c>
      <c r="G355" s="123">
        <v>369.51</v>
      </c>
      <c r="H355" s="123">
        <v>284.24</v>
      </c>
      <c r="I355" s="123">
        <v>316.85</v>
      </c>
      <c r="J355" s="123">
        <v>320.5</v>
      </c>
      <c r="K355" s="123">
        <v>341.27</v>
      </c>
      <c r="L355" s="123">
        <v>217.26</v>
      </c>
      <c r="M355" s="123">
        <v>115.92</v>
      </c>
      <c r="N355" s="123">
        <v>403.44</v>
      </c>
      <c r="O355" s="123">
        <v>714.02</v>
      </c>
      <c r="P355" s="123">
        <v>224.71</v>
      </c>
      <c r="Q355" s="123">
        <v>344.56</v>
      </c>
    </row>
    <row r="356" spans="1:17" ht="15">
      <c r="A356" s="130" t="s">
        <v>545</v>
      </c>
      <c r="B356" s="58">
        <v>109</v>
      </c>
      <c r="C356" s="123">
        <v>360.47</v>
      </c>
      <c r="D356" s="123">
        <v>368.58</v>
      </c>
      <c r="E356" s="123">
        <v>367.19</v>
      </c>
      <c r="F356" s="123">
        <v>310.88</v>
      </c>
      <c r="G356" s="123">
        <v>369.52</v>
      </c>
      <c r="H356" s="123">
        <v>284.24</v>
      </c>
      <c r="I356" s="123">
        <v>316.85</v>
      </c>
      <c r="J356" s="123">
        <v>320.5</v>
      </c>
      <c r="K356" s="123">
        <v>341.27</v>
      </c>
      <c r="L356" s="123">
        <v>217.26</v>
      </c>
      <c r="M356" s="123">
        <v>115.92</v>
      </c>
      <c r="N356" s="123">
        <v>403.45</v>
      </c>
      <c r="O356" s="123">
        <v>714.03</v>
      </c>
      <c r="P356" s="123">
        <v>224.71</v>
      </c>
      <c r="Q356" s="123">
        <v>344.56</v>
      </c>
    </row>
    <row r="357" spans="1:17" ht="15">
      <c r="A357" s="130" t="s">
        <v>546</v>
      </c>
      <c r="B357" s="58">
        <v>124</v>
      </c>
      <c r="C357" s="123">
        <v>333.43</v>
      </c>
      <c r="D357" s="123">
        <v>343.22</v>
      </c>
      <c r="E357" s="123">
        <v>323.72</v>
      </c>
      <c r="F357" s="123">
        <v>310.88</v>
      </c>
      <c r="G357" s="123">
        <v>334.67</v>
      </c>
      <c r="H357" s="123">
        <v>235.46</v>
      </c>
      <c r="I357" s="123">
        <v>267.5</v>
      </c>
      <c r="J357" s="123">
        <v>280.07</v>
      </c>
      <c r="K357" s="123">
        <v>316.15</v>
      </c>
      <c r="L357" s="123">
        <v>198.69</v>
      </c>
      <c r="M357" s="123">
        <v>83.1</v>
      </c>
      <c r="N357" s="123">
        <v>367.36</v>
      </c>
      <c r="O357" s="123">
        <v>751.79</v>
      </c>
      <c r="P357" s="123">
        <v>224.71</v>
      </c>
      <c r="Q357" s="123">
        <v>306.93</v>
      </c>
    </row>
    <row r="358" spans="1:17" ht="15">
      <c r="A358" s="130" t="s">
        <v>547</v>
      </c>
      <c r="B358" s="58">
        <v>135</v>
      </c>
      <c r="C358" s="123">
        <v>332.67</v>
      </c>
      <c r="D358" s="123">
        <v>342.56</v>
      </c>
      <c r="E358" s="123">
        <v>324.2</v>
      </c>
      <c r="F358" s="123">
        <v>310.88</v>
      </c>
      <c r="G358" s="123">
        <v>331.32</v>
      </c>
      <c r="H358" s="123">
        <v>235.46</v>
      </c>
      <c r="I358" s="123">
        <v>267.5</v>
      </c>
      <c r="J358" s="123">
        <v>279.14</v>
      </c>
      <c r="K358" s="123">
        <v>316.15</v>
      </c>
      <c r="L358" s="123">
        <v>198.69</v>
      </c>
      <c r="M358" s="123">
        <v>83.1</v>
      </c>
      <c r="N358" s="123">
        <v>363.08</v>
      </c>
      <c r="O358" s="123">
        <v>757.51</v>
      </c>
      <c r="P358" s="123">
        <v>224.71</v>
      </c>
      <c r="Q358" s="123">
        <v>310.03</v>
      </c>
    </row>
    <row r="359" spans="1:17" ht="15">
      <c r="A359" s="130" t="s">
        <v>548</v>
      </c>
      <c r="B359" s="58">
        <v>145</v>
      </c>
      <c r="C359" s="123">
        <v>359.25</v>
      </c>
      <c r="D359" s="123">
        <v>373.48</v>
      </c>
      <c r="E359" s="123">
        <v>338.28</v>
      </c>
      <c r="F359" s="123">
        <v>310.88</v>
      </c>
      <c r="G359" s="123">
        <v>349.84</v>
      </c>
      <c r="H359" s="123">
        <v>263.84</v>
      </c>
      <c r="I359" s="123">
        <v>291.93</v>
      </c>
      <c r="J359" s="123">
        <v>300.26</v>
      </c>
      <c r="K359" s="123">
        <v>287.21</v>
      </c>
      <c r="L359" s="123">
        <v>186.9</v>
      </c>
      <c r="M359" s="123">
        <v>83.82</v>
      </c>
      <c r="N359" s="123">
        <v>381.64</v>
      </c>
      <c r="O359" s="123">
        <v>772.74</v>
      </c>
      <c r="P359" s="123">
        <v>224.71</v>
      </c>
      <c r="Q359" s="123">
        <v>329.87</v>
      </c>
    </row>
    <row r="360" spans="1:17" ht="15">
      <c r="A360" s="130" t="s">
        <v>550</v>
      </c>
      <c r="B360" s="58">
        <v>151</v>
      </c>
      <c r="C360" s="123">
        <v>359.25</v>
      </c>
      <c r="D360" s="123">
        <v>373.48</v>
      </c>
      <c r="E360" s="123">
        <v>338.28</v>
      </c>
      <c r="F360" s="123">
        <v>310.88</v>
      </c>
      <c r="G360" s="123">
        <v>349.84</v>
      </c>
      <c r="H360" s="123">
        <v>263.84</v>
      </c>
      <c r="I360" s="123">
        <v>291.93</v>
      </c>
      <c r="J360" s="123">
        <v>300.26</v>
      </c>
      <c r="K360" s="123">
        <v>287.21</v>
      </c>
      <c r="L360" s="123">
        <v>186.9</v>
      </c>
      <c r="M360" s="123">
        <v>83.82</v>
      </c>
      <c r="N360" s="123">
        <v>381.64</v>
      </c>
      <c r="O360" s="123">
        <v>772.74</v>
      </c>
      <c r="P360" s="123">
        <v>224.71</v>
      </c>
      <c r="Q360" s="123">
        <v>329.87</v>
      </c>
    </row>
    <row r="361" spans="1:17" ht="15">
      <c r="A361" s="130" t="s">
        <v>551</v>
      </c>
      <c r="B361" s="58">
        <v>161</v>
      </c>
      <c r="C361" s="123">
        <v>302.46</v>
      </c>
      <c r="D361" s="123">
        <v>313.61</v>
      </c>
      <c r="E361" s="123">
        <v>321.29</v>
      </c>
      <c r="F361" s="123">
        <v>310.88</v>
      </c>
      <c r="G361" s="123">
        <v>332.16</v>
      </c>
      <c r="H361" s="123">
        <v>222.02</v>
      </c>
      <c r="I361" s="123">
        <v>258.07</v>
      </c>
      <c r="J361" s="123">
        <v>274.18</v>
      </c>
      <c r="K361" s="123">
        <v>270.22</v>
      </c>
      <c r="L361" s="123">
        <v>171.74</v>
      </c>
      <c r="M361" s="123">
        <v>81.19</v>
      </c>
      <c r="N361" s="123">
        <v>360.3</v>
      </c>
      <c r="O361" s="123">
        <v>752.61</v>
      </c>
      <c r="P361" s="123">
        <v>224.71</v>
      </c>
      <c r="Q361" s="123">
        <v>311.18</v>
      </c>
    </row>
    <row r="362" spans="1:17" ht="15">
      <c r="A362" s="130" t="s">
        <v>552</v>
      </c>
      <c r="B362" s="58">
        <v>186</v>
      </c>
      <c r="C362" s="123">
        <v>290.08</v>
      </c>
      <c r="D362" s="123">
        <v>298.15</v>
      </c>
      <c r="E362" s="123">
        <v>327.86</v>
      </c>
      <c r="F362" s="123">
        <v>310.88</v>
      </c>
      <c r="G362" s="123">
        <v>330.42</v>
      </c>
      <c r="H362" s="123">
        <v>195.26</v>
      </c>
      <c r="I362" s="123">
        <v>242.34</v>
      </c>
      <c r="J362" s="123">
        <v>266.5</v>
      </c>
      <c r="K362" s="123">
        <v>232.64</v>
      </c>
      <c r="L362" s="123">
        <v>148.28</v>
      </c>
      <c r="M362" s="123">
        <v>81.34</v>
      </c>
      <c r="N362" s="123">
        <v>358.54</v>
      </c>
      <c r="O362" s="123">
        <v>726.14</v>
      </c>
      <c r="P362" s="123">
        <v>224.71</v>
      </c>
      <c r="Q362" s="123">
        <v>306.14</v>
      </c>
    </row>
    <row r="363" spans="1:17" ht="15">
      <c r="A363" s="130" t="s">
        <v>553</v>
      </c>
      <c r="B363" s="58">
        <v>209</v>
      </c>
      <c r="C363" s="123">
        <v>309.48</v>
      </c>
      <c r="D363" s="123">
        <v>315.65</v>
      </c>
      <c r="E363" s="123">
        <v>346</v>
      </c>
      <c r="F363" s="123">
        <v>310.88</v>
      </c>
      <c r="G363" s="123">
        <v>341.18</v>
      </c>
      <c r="H363" s="123">
        <v>214.97</v>
      </c>
      <c r="I363" s="123">
        <v>258.73</v>
      </c>
      <c r="J363" s="123">
        <v>281.87</v>
      </c>
      <c r="K363" s="123">
        <v>230.98</v>
      </c>
      <c r="L363" s="123">
        <v>149.13</v>
      </c>
      <c r="M363" s="123">
        <v>88.21</v>
      </c>
      <c r="N363" s="123">
        <v>377.64</v>
      </c>
      <c r="O363" s="123">
        <v>657.83</v>
      </c>
      <c r="P363" s="123">
        <v>224.71</v>
      </c>
      <c r="Q363" s="123">
        <v>313</v>
      </c>
    </row>
    <row r="364" spans="1:17" ht="15">
      <c r="A364" s="130" t="s">
        <v>554</v>
      </c>
      <c r="B364" s="58">
        <v>213</v>
      </c>
      <c r="C364" s="123">
        <v>309.48</v>
      </c>
      <c r="D364" s="123">
        <v>315.65</v>
      </c>
      <c r="E364" s="123">
        <v>346</v>
      </c>
      <c r="F364" s="123">
        <v>310.88</v>
      </c>
      <c r="G364" s="123">
        <v>341.18</v>
      </c>
      <c r="H364" s="123">
        <v>214.97</v>
      </c>
      <c r="I364" s="123">
        <v>258.73</v>
      </c>
      <c r="J364" s="123">
        <v>281.87</v>
      </c>
      <c r="K364" s="123">
        <v>230.98</v>
      </c>
      <c r="L364" s="123">
        <v>149.13</v>
      </c>
      <c r="M364" s="123">
        <v>88.21</v>
      </c>
      <c r="N364" s="123">
        <v>377.64</v>
      </c>
      <c r="O364" s="123">
        <v>657.83</v>
      </c>
      <c r="P364" s="123">
        <v>224.71</v>
      </c>
      <c r="Q364" s="123">
        <v>313</v>
      </c>
    </row>
    <row r="365" spans="1:17" ht="15">
      <c r="A365" s="130" t="s">
        <v>555</v>
      </c>
      <c r="B365" s="58">
        <v>226</v>
      </c>
      <c r="C365" s="123">
        <v>309.77</v>
      </c>
      <c r="D365" s="123">
        <v>313.83</v>
      </c>
      <c r="E365" s="123">
        <v>341.5</v>
      </c>
      <c r="F365" s="123">
        <v>310.88</v>
      </c>
      <c r="G365" s="123">
        <v>338.77</v>
      </c>
      <c r="H365" s="123">
        <v>170.82</v>
      </c>
      <c r="I365" s="123">
        <v>227.71</v>
      </c>
      <c r="J365" s="123">
        <v>260.89</v>
      </c>
      <c r="K365" s="123">
        <v>233.09</v>
      </c>
      <c r="L365" s="123">
        <v>146.23</v>
      </c>
      <c r="M365" s="123">
        <v>96.86</v>
      </c>
      <c r="N365" s="123">
        <v>375.18</v>
      </c>
      <c r="O365" s="123">
        <v>644.05</v>
      </c>
      <c r="P365" s="123">
        <v>224.71</v>
      </c>
      <c r="Q365" s="123">
        <v>312.63</v>
      </c>
    </row>
    <row r="366" spans="1:17" ht="15">
      <c r="A366" s="130" t="s">
        <v>556</v>
      </c>
      <c r="B366" s="58">
        <v>242</v>
      </c>
      <c r="C366" s="123">
        <v>309.79</v>
      </c>
      <c r="D366" s="123">
        <v>313.84</v>
      </c>
      <c r="E366" s="123">
        <v>341.52</v>
      </c>
      <c r="F366" s="123">
        <v>310.88</v>
      </c>
      <c r="G366" s="123">
        <v>338.79</v>
      </c>
      <c r="H366" s="123">
        <v>170.82</v>
      </c>
      <c r="I366" s="123">
        <v>227.71</v>
      </c>
      <c r="J366" s="123">
        <v>260.91</v>
      </c>
      <c r="K366" s="123">
        <v>233.09</v>
      </c>
      <c r="L366" s="123">
        <v>146.23</v>
      </c>
      <c r="M366" s="123">
        <v>96.86</v>
      </c>
      <c r="N366" s="123">
        <v>375.19</v>
      </c>
      <c r="O366" s="123">
        <v>644.06</v>
      </c>
      <c r="P366" s="123">
        <v>224.71</v>
      </c>
      <c r="Q366" s="123">
        <v>312.63</v>
      </c>
    </row>
    <row r="367" spans="1:17" ht="15">
      <c r="A367" s="130" t="s">
        <v>557</v>
      </c>
      <c r="B367" s="58">
        <v>6</v>
      </c>
      <c r="C367" s="123">
        <v>291.12</v>
      </c>
      <c r="D367" s="123">
        <v>299.36</v>
      </c>
      <c r="E367" s="123">
        <v>332.74</v>
      </c>
      <c r="F367" s="123">
        <v>310.88</v>
      </c>
      <c r="G367" s="123">
        <v>330.32</v>
      </c>
      <c r="H367" s="123">
        <v>158.17</v>
      </c>
      <c r="I367" s="123">
        <v>215.27</v>
      </c>
      <c r="J367" s="123">
        <v>254.54</v>
      </c>
      <c r="K367" s="123">
        <v>226.83</v>
      </c>
      <c r="L367" s="123">
        <v>147.61</v>
      </c>
      <c r="M367" s="123">
        <v>100.02</v>
      </c>
      <c r="N367" s="123">
        <v>367.04</v>
      </c>
      <c r="O367" s="123">
        <v>654.62</v>
      </c>
      <c r="P367" s="123">
        <v>224.71</v>
      </c>
      <c r="Q367" s="123">
        <v>301.07</v>
      </c>
    </row>
    <row r="368" spans="1:17" ht="15">
      <c r="A368" s="130" t="s">
        <v>558</v>
      </c>
      <c r="B368" s="58">
        <v>20</v>
      </c>
      <c r="C368" s="123">
        <v>309.91</v>
      </c>
      <c r="D368" s="123">
        <v>320.56</v>
      </c>
      <c r="E368" s="123">
        <v>350.04</v>
      </c>
      <c r="F368" s="123">
        <v>0</v>
      </c>
      <c r="G368" s="123">
        <v>349.9</v>
      </c>
      <c r="H368" s="123">
        <v>182.27</v>
      </c>
      <c r="I368" s="123">
        <v>238.58</v>
      </c>
      <c r="J368" s="123">
        <v>272.02</v>
      </c>
      <c r="K368" s="123">
        <v>240.45</v>
      </c>
      <c r="L368" s="123">
        <v>151.53</v>
      </c>
      <c r="M368" s="123">
        <v>89.78</v>
      </c>
      <c r="N368" s="123">
        <v>386.62</v>
      </c>
      <c r="O368" s="123">
        <v>663.16</v>
      </c>
      <c r="P368" s="123">
        <v>0</v>
      </c>
      <c r="Q368" s="123">
        <v>321.04</v>
      </c>
    </row>
    <row r="369" spans="1:17" ht="15">
      <c r="A369" s="130" t="s">
        <v>559</v>
      </c>
      <c r="B369" s="58">
        <v>43</v>
      </c>
      <c r="C369" s="123">
        <v>270.09</v>
      </c>
      <c r="D369" s="123">
        <v>281.35</v>
      </c>
      <c r="E369" s="123">
        <v>287.11</v>
      </c>
      <c r="F369" s="123">
        <v>0</v>
      </c>
      <c r="G369" s="123">
        <v>284</v>
      </c>
      <c r="H369" s="123">
        <v>187.57</v>
      </c>
      <c r="I369" s="123">
        <v>219.17</v>
      </c>
      <c r="J369" s="123">
        <v>243.79</v>
      </c>
      <c r="K369" s="123">
        <v>251.26</v>
      </c>
      <c r="L369" s="123">
        <v>157.95</v>
      </c>
      <c r="M369" s="123">
        <v>81.78</v>
      </c>
      <c r="N369" s="123">
        <v>313.15</v>
      </c>
      <c r="O369" s="123">
        <v>631.63</v>
      </c>
      <c r="P369" s="123">
        <v>0</v>
      </c>
      <c r="Q369" s="123">
        <v>263.18</v>
      </c>
    </row>
    <row r="370" spans="1:17" ht="15">
      <c r="A370" s="130" t="s">
        <v>560</v>
      </c>
      <c r="B370" s="58">
        <v>62</v>
      </c>
      <c r="C370" s="123">
        <v>242.18</v>
      </c>
      <c r="D370" s="123">
        <v>255.47</v>
      </c>
      <c r="E370" s="123">
        <v>253.73</v>
      </c>
      <c r="F370" s="123">
        <v>0</v>
      </c>
      <c r="G370" s="123">
        <v>243.87</v>
      </c>
      <c r="H370" s="123">
        <v>144.78</v>
      </c>
      <c r="I370" s="123">
        <v>176.94</v>
      </c>
      <c r="J370" s="123">
        <v>206.53</v>
      </c>
      <c r="K370" s="123">
        <v>228.35</v>
      </c>
      <c r="L370" s="123">
        <v>141.17</v>
      </c>
      <c r="M370" s="123">
        <v>71.03</v>
      </c>
      <c r="N370" s="123">
        <v>273.02</v>
      </c>
      <c r="O370" s="123">
        <v>625.37</v>
      </c>
      <c r="P370" s="123">
        <v>0</v>
      </c>
      <c r="Q370" s="123">
        <v>225.54</v>
      </c>
    </row>
    <row r="371" spans="1:17" ht="15">
      <c r="A371" s="130" t="s">
        <v>561</v>
      </c>
      <c r="B371" s="58">
        <v>93</v>
      </c>
      <c r="C371" s="123">
        <v>129.3</v>
      </c>
      <c r="D371" s="123">
        <v>132.96</v>
      </c>
      <c r="E371" s="123">
        <v>189.01</v>
      </c>
      <c r="F371" s="123">
        <v>0</v>
      </c>
      <c r="G371" s="123">
        <v>165.8</v>
      </c>
      <c r="H371" s="123">
        <v>80.42</v>
      </c>
      <c r="I371" s="123">
        <v>110.68</v>
      </c>
      <c r="J371" s="123">
        <v>147.52</v>
      </c>
      <c r="K371" s="123">
        <v>150.31</v>
      </c>
      <c r="L371" s="123">
        <v>91.55</v>
      </c>
      <c r="M371" s="123">
        <v>51.14</v>
      </c>
      <c r="N371" s="123">
        <v>179.43</v>
      </c>
      <c r="O371" s="123">
        <v>378.21</v>
      </c>
      <c r="P371" s="123">
        <v>0</v>
      </c>
      <c r="Q371" s="123">
        <v>136.1</v>
      </c>
    </row>
    <row r="372" spans="1:17" ht="15">
      <c r="A372" s="130" t="s">
        <v>562</v>
      </c>
      <c r="B372" s="58">
        <v>107</v>
      </c>
      <c r="C372" s="123">
        <v>129.3</v>
      </c>
      <c r="D372" s="123">
        <v>132.96</v>
      </c>
      <c r="E372" s="123">
        <v>189.01</v>
      </c>
      <c r="F372" s="123">
        <v>0</v>
      </c>
      <c r="G372" s="123">
        <v>165.8</v>
      </c>
      <c r="H372" s="123">
        <v>80.42</v>
      </c>
      <c r="I372" s="123">
        <v>110.68</v>
      </c>
      <c r="J372" s="123">
        <v>147.52</v>
      </c>
      <c r="K372" s="123">
        <v>150.31</v>
      </c>
      <c r="L372" s="123">
        <v>91.55</v>
      </c>
      <c r="M372" s="123">
        <v>51.14</v>
      </c>
      <c r="N372" s="123">
        <v>179.43</v>
      </c>
      <c r="O372" s="123">
        <v>378.21</v>
      </c>
      <c r="P372" s="123">
        <v>0</v>
      </c>
      <c r="Q372" s="123">
        <v>136.1</v>
      </c>
    </row>
    <row r="373" spans="1:17" ht="15">
      <c r="A373" s="130" t="s">
        <v>563</v>
      </c>
      <c r="B373" s="58">
        <v>110</v>
      </c>
      <c r="C373" s="123">
        <v>241.18</v>
      </c>
      <c r="D373" s="123">
        <v>254.47</v>
      </c>
      <c r="E373" s="123">
        <v>189.01</v>
      </c>
      <c r="F373" s="123">
        <v>0</v>
      </c>
      <c r="G373" s="123">
        <v>165.8</v>
      </c>
      <c r="H373" s="123">
        <v>80.42</v>
      </c>
      <c r="I373" s="123">
        <v>110.68</v>
      </c>
      <c r="J373" s="123">
        <v>147.52</v>
      </c>
      <c r="K373" s="123">
        <v>150.31</v>
      </c>
      <c r="L373" s="123">
        <v>91.55</v>
      </c>
      <c r="M373" s="123">
        <v>51.14</v>
      </c>
      <c r="N373" s="123">
        <v>179.43</v>
      </c>
      <c r="O373" s="123">
        <v>378.21</v>
      </c>
      <c r="P373" s="123">
        <v>0</v>
      </c>
      <c r="Q373" s="123">
        <v>136.1</v>
      </c>
    </row>
    <row r="374" spans="1:17" ht="15">
      <c r="A374" s="130" t="s">
        <v>564</v>
      </c>
      <c r="B374" s="58">
        <v>123</v>
      </c>
      <c r="C374" s="123">
        <v>241.18</v>
      </c>
      <c r="D374" s="123">
        <v>254.47</v>
      </c>
      <c r="E374" s="123">
        <v>147</v>
      </c>
      <c r="F374" s="123">
        <v>0</v>
      </c>
      <c r="G374" s="123">
        <v>137.32</v>
      </c>
      <c r="H374" s="123">
        <v>69.19</v>
      </c>
      <c r="I374" s="123">
        <v>86.18</v>
      </c>
      <c r="J374" s="123">
        <v>117.77</v>
      </c>
      <c r="K374" s="123">
        <v>121.23</v>
      </c>
      <c r="L374" s="123">
        <v>74.24</v>
      </c>
      <c r="M374" s="123">
        <v>60.54</v>
      </c>
      <c r="N374" s="123">
        <v>150.58</v>
      </c>
      <c r="O374" s="123">
        <v>384.64</v>
      </c>
      <c r="P374" s="123">
        <v>0</v>
      </c>
      <c r="Q374" s="123">
        <v>118.39</v>
      </c>
    </row>
    <row r="375" spans="1:17" ht="15">
      <c r="A375" s="130" t="s">
        <v>566</v>
      </c>
      <c r="B375" s="58">
        <v>146</v>
      </c>
      <c r="C375" s="123">
        <v>241.18</v>
      </c>
      <c r="D375" s="123">
        <v>254.47</v>
      </c>
      <c r="E375" s="123">
        <v>147</v>
      </c>
      <c r="F375" s="123">
        <v>0</v>
      </c>
      <c r="G375" s="123">
        <v>137.32</v>
      </c>
      <c r="H375" s="123">
        <v>69.19</v>
      </c>
      <c r="I375" s="123">
        <v>86.18</v>
      </c>
      <c r="J375" s="123">
        <v>117.77</v>
      </c>
      <c r="K375" s="123">
        <v>121.23</v>
      </c>
      <c r="L375" s="123">
        <v>74.24</v>
      </c>
      <c r="M375" s="123">
        <v>60.54</v>
      </c>
      <c r="N375" s="123">
        <v>150.58</v>
      </c>
      <c r="O375" s="123">
        <v>384.64</v>
      </c>
      <c r="P375" s="123">
        <v>0</v>
      </c>
      <c r="Q375" s="123">
        <v>118.39</v>
      </c>
    </row>
    <row r="376" spans="1:17" ht="15">
      <c r="A376" s="130" t="s">
        <v>567</v>
      </c>
      <c r="B376" s="58">
        <v>158</v>
      </c>
      <c r="C376" s="123">
        <v>241.18</v>
      </c>
      <c r="D376" s="123">
        <v>254.47</v>
      </c>
      <c r="E376" s="123">
        <v>209.8</v>
      </c>
      <c r="F376" s="123">
        <v>0</v>
      </c>
      <c r="G376" s="123">
        <v>197.46</v>
      </c>
      <c r="H376" s="123">
        <v>134.54</v>
      </c>
      <c r="I376" s="123">
        <v>151.58</v>
      </c>
      <c r="J376" s="123">
        <v>176.47</v>
      </c>
      <c r="K376" s="123">
        <v>146.24</v>
      </c>
      <c r="L376" s="123">
        <v>94.27</v>
      </c>
      <c r="M376" s="123">
        <v>89.89</v>
      </c>
      <c r="N376" s="123">
        <v>223.92</v>
      </c>
      <c r="O376" s="123">
        <v>495.87</v>
      </c>
      <c r="P376" s="123">
        <v>0</v>
      </c>
      <c r="Q376" s="123">
        <v>181.18</v>
      </c>
    </row>
    <row r="377" spans="1:17" ht="15">
      <c r="A377" s="130" t="s">
        <v>568</v>
      </c>
      <c r="B377" s="58">
        <v>173</v>
      </c>
      <c r="C377" s="123">
        <v>241.18</v>
      </c>
      <c r="D377" s="123">
        <v>254.47</v>
      </c>
      <c r="E377" s="123">
        <v>209.8</v>
      </c>
      <c r="F377" s="123">
        <v>0</v>
      </c>
      <c r="G377" s="123">
        <v>197.46</v>
      </c>
      <c r="H377" s="123">
        <v>134.54</v>
      </c>
      <c r="I377" s="123">
        <v>151.58</v>
      </c>
      <c r="J377" s="123">
        <v>176.47</v>
      </c>
      <c r="K377" s="123">
        <v>146.24</v>
      </c>
      <c r="L377" s="123">
        <v>94.27</v>
      </c>
      <c r="M377" s="123">
        <v>89.89</v>
      </c>
      <c r="N377" s="123">
        <v>223.92</v>
      </c>
      <c r="O377" s="123">
        <v>495.87</v>
      </c>
      <c r="P377" s="123">
        <v>0</v>
      </c>
      <c r="Q377" s="123">
        <v>181.18</v>
      </c>
    </row>
    <row r="378" spans="1:17" ht="15">
      <c r="A378" s="130" t="s">
        <v>569</v>
      </c>
      <c r="B378" s="58">
        <v>182</v>
      </c>
      <c r="C378" s="123">
        <v>238.64</v>
      </c>
      <c r="D378" s="123">
        <v>246.52</v>
      </c>
      <c r="E378" s="123">
        <v>234.84</v>
      </c>
      <c r="F378" s="123">
        <v>0</v>
      </c>
      <c r="G378" s="123">
        <v>217.95</v>
      </c>
      <c r="H378" s="123">
        <v>153.73</v>
      </c>
      <c r="I378" s="123">
        <v>173.82</v>
      </c>
      <c r="J378" s="123">
        <v>196.52</v>
      </c>
      <c r="K378" s="123">
        <v>175.95</v>
      </c>
      <c r="L378" s="123">
        <v>112.81</v>
      </c>
      <c r="M378" s="123">
        <v>85.92</v>
      </c>
      <c r="N378" s="123">
        <v>243.15</v>
      </c>
      <c r="O378" s="123">
        <v>526.98</v>
      </c>
      <c r="P378" s="123">
        <v>0</v>
      </c>
      <c r="Q378" s="123">
        <v>200.42</v>
      </c>
    </row>
    <row r="379" spans="1:17" ht="15">
      <c r="A379" s="130" t="s">
        <v>570</v>
      </c>
      <c r="B379" s="58">
        <v>191</v>
      </c>
      <c r="C379" s="123">
        <v>238.64</v>
      </c>
      <c r="D379" s="123">
        <v>246.52</v>
      </c>
      <c r="E379" s="123">
        <v>234.84</v>
      </c>
      <c r="F379" s="123">
        <v>0</v>
      </c>
      <c r="G379" s="123">
        <v>217.95</v>
      </c>
      <c r="H379" s="123">
        <v>153.73</v>
      </c>
      <c r="I379" s="123">
        <v>173.82</v>
      </c>
      <c r="J379" s="123">
        <v>196.52</v>
      </c>
      <c r="K379" s="123">
        <v>175.95</v>
      </c>
      <c r="L379" s="123">
        <v>112.81</v>
      </c>
      <c r="M379" s="123">
        <v>85.92</v>
      </c>
      <c r="N379" s="123">
        <v>243.15</v>
      </c>
      <c r="O379" s="123">
        <v>526.98</v>
      </c>
      <c r="P379" s="123">
        <v>0</v>
      </c>
      <c r="Q379" s="123">
        <v>200.42</v>
      </c>
    </row>
    <row r="380" spans="1:17" ht="15">
      <c r="A380" s="130" t="s">
        <v>571</v>
      </c>
      <c r="B380" s="58">
        <v>221</v>
      </c>
      <c r="C380" s="123">
        <v>258.14</v>
      </c>
      <c r="D380" s="123">
        <v>275.2</v>
      </c>
      <c r="E380" s="123">
        <v>285.29</v>
      </c>
      <c r="F380" s="123">
        <v>0</v>
      </c>
      <c r="G380" s="123">
        <v>236.75</v>
      </c>
      <c r="H380" s="123">
        <v>169.26</v>
      </c>
      <c r="I380" s="123">
        <v>187.4</v>
      </c>
      <c r="J380" s="123">
        <v>211.21</v>
      </c>
      <c r="K380" s="123">
        <v>197.82</v>
      </c>
      <c r="L380" s="123">
        <v>126.35</v>
      </c>
      <c r="M380" s="123">
        <v>96.08</v>
      </c>
      <c r="N380" s="123">
        <v>283.85</v>
      </c>
      <c r="O380" s="123">
        <v>585.7</v>
      </c>
      <c r="P380" s="123">
        <v>0</v>
      </c>
      <c r="Q380" s="123">
        <v>212.42</v>
      </c>
    </row>
    <row r="381" spans="1:17" ht="15">
      <c r="A381" s="130" t="s">
        <v>572</v>
      </c>
      <c r="B381" s="58">
        <v>240</v>
      </c>
      <c r="C381" s="123">
        <v>265.85</v>
      </c>
      <c r="D381" s="123">
        <v>283.7</v>
      </c>
      <c r="E381" s="123">
        <v>277.25</v>
      </c>
      <c r="F381" s="123">
        <v>0</v>
      </c>
      <c r="G381" s="123">
        <v>232.23</v>
      </c>
      <c r="H381" s="123">
        <v>163.8</v>
      </c>
      <c r="I381" s="123">
        <v>180.36</v>
      </c>
      <c r="J381" s="123">
        <v>203.98</v>
      </c>
      <c r="K381" s="123">
        <v>194.17</v>
      </c>
      <c r="L381" s="123">
        <v>124.38</v>
      </c>
      <c r="M381" s="123">
        <v>96.85</v>
      </c>
      <c r="N381" s="123">
        <v>278.88</v>
      </c>
      <c r="O381" s="123">
        <v>603.81</v>
      </c>
      <c r="P381" s="123">
        <v>0</v>
      </c>
      <c r="Q381" s="123">
        <v>210.49</v>
      </c>
    </row>
    <row r="382" spans="1:17" ht="15">
      <c r="A382" s="130" t="s">
        <v>573</v>
      </c>
      <c r="B382" s="58">
        <v>259</v>
      </c>
      <c r="C382" s="123">
        <v>233.71</v>
      </c>
      <c r="D382" s="123">
        <v>246.62</v>
      </c>
      <c r="E382" s="123">
        <v>230.26</v>
      </c>
      <c r="F382" s="123">
        <v>0</v>
      </c>
      <c r="G382" s="123">
        <v>221.12</v>
      </c>
      <c r="H382" s="123">
        <v>160.21</v>
      </c>
      <c r="I382" s="123">
        <v>176.97</v>
      </c>
      <c r="J382" s="123">
        <v>200.33</v>
      </c>
      <c r="K382" s="123">
        <v>185.65</v>
      </c>
      <c r="L382" s="123">
        <v>118.7</v>
      </c>
      <c r="M382" s="123">
        <v>99.53</v>
      </c>
      <c r="N382" s="123">
        <v>248.74</v>
      </c>
      <c r="O382" s="123">
        <v>582.91</v>
      </c>
      <c r="P382" s="123">
        <v>0</v>
      </c>
      <c r="Q382" s="123">
        <v>206.45</v>
      </c>
    </row>
    <row r="383" spans="1:17" ht="15">
      <c r="A383" s="130" t="s">
        <v>574</v>
      </c>
      <c r="B383" s="58">
        <v>267</v>
      </c>
      <c r="C383" s="123">
        <v>233.71</v>
      </c>
      <c r="D383" s="123">
        <v>246.62</v>
      </c>
      <c r="E383" s="123">
        <v>230.26</v>
      </c>
      <c r="F383" s="123">
        <v>0</v>
      </c>
      <c r="G383" s="123">
        <v>221.12</v>
      </c>
      <c r="H383" s="123">
        <v>160.21</v>
      </c>
      <c r="I383" s="123">
        <v>176.97</v>
      </c>
      <c r="J383" s="123">
        <v>200.33</v>
      </c>
      <c r="K383" s="123">
        <v>185.65</v>
      </c>
      <c r="L383" s="123">
        <v>118.7</v>
      </c>
      <c r="M383" s="123">
        <v>99.53</v>
      </c>
      <c r="N383" s="123">
        <v>248.74</v>
      </c>
      <c r="O383" s="123">
        <v>582.91</v>
      </c>
      <c r="P383" s="123">
        <v>0</v>
      </c>
      <c r="Q383" s="123">
        <v>206.45</v>
      </c>
    </row>
    <row r="384" spans="1:17" ht="15">
      <c r="A384" s="130" t="s">
        <v>575</v>
      </c>
      <c r="B384" s="58">
        <v>283</v>
      </c>
      <c r="C384" s="123">
        <v>215.8</v>
      </c>
      <c r="D384" s="123">
        <v>226.9</v>
      </c>
      <c r="E384" s="123">
        <v>239.27</v>
      </c>
      <c r="F384" s="123">
        <v>0</v>
      </c>
      <c r="G384" s="123">
        <v>230.01</v>
      </c>
      <c r="H384" s="123">
        <v>167.73</v>
      </c>
      <c r="I384" s="123">
        <v>185.82</v>
      </c>
      <c r="J384" s="123">
        <v>206.75</v>
      </c>
      <c r="K384" s="123">
        <v>189.9</v>
      </c>
      <c r="L384" s="123">
        <v>121.78</v>
      </c>
      <c r="M384" s="123">
        <v>114.31</v>
      </c>
      <c r="N384" s="123">
        <v>258.18</v>
      </c>
      <c r="O384" s="123">
        <v>564.27</v>
      </c>
      <c r="P384" s="123">
        <v>0</v>
      </c>
      <c r="Q384" s="123">
        <v>209.24</v>
      </c>
    </row>
    <row r="385" spans="1:17" ht="15">
      <c r="A385" s="130" t="s">
        <v>576</v>
      </c>
      <c r="B385" s="58">
        <v>294</v>
      </c>
      <c r="C385" s="123">
        <v>215.8</v>
      </c>
      <c r="D385" s="123">
        <v>226.9</v>
      </c>
      <c r="E385" s="123">
        <v>239.27</v>
      </c>
      <c r="F385" s="123">
        <v>0</v>
      </c>
      <c r="G385" s="123">
        <v>230.01</v>
      </c>
      <c r="H385" s="123">
        <v>167.73</v>
      </c>
      <c r="I385" s="123">
        <v>185.82</v>
      </c>
      <c r="J385" s="123">
        <v>206.75</v>
      </c>
      <c r="K385" s="123">
        <v>189.9</v>
      </c>
      <c r="L385" s="123">
        <v>121.78</v>
      </c>
      <c r="M385" s="123">
        <v>114.31</v>
      </c>
      <c r="N385" s="123">
        <v>258.18</v>
      </c>
      <c r="O385" s="123">
        <v>564.27</v>
      </c>
      <c r="P385" s="123">
        <v>0</v>
      </c>
      <c r="Q385" s="123">
        <v>209.24</v>
      </c>
    </row>
    <row r="386" spans="1:17" ht="15">
      <c r="A386" s="130" t="s">
        <v>577</v>
      </c>
      <c r="B386" s="58">
        <v>6</v>
      </c>
      <c r="C386" s="123">
        <v>244.71</v>
      </c>
      <c r="D386" s="123">
        <v>253.43</v>
      </c>
      <c r="E386" s="123">
        <v>268.01</v>
      </c>
      <c r="F386" s="123">
        <v>0</v>
      </c>
      <c r="G386" s="123">
        <v>262.01</v>
      </c>
      <c r="H386" s="123">
        <v>189.11</v>
      </c>
      <c r="I386" s="123">
        <v>212.53</v>
      </c>
      <c r="J386" s="123">
        <v>234.32</v>
      </c>
      <c r="K386" s="123">
        <v>198.01</v>
      </c>
      <c r="L386" s="123">
        <v>129.53</v>
      </c>
      <c r="M386" s="123">
        <v>121.1</v>
      </c>
      <c r="N386" s="123">
        <v>278.32</v>
      </c>
      <c r="O386" s="123">
        <v>583.45</v>
      </c>
      <c r="P386" s="123">
        <v>0</v>
      </c>
      <c r="Q386" s="123">
        <v>238.49</v>
      </c>
    </row>
    <row r="387" spans="1:17" ht="15">
      <c r="A387" s="130" t="s">
        <v>578</v>
      </c>
      <c r="B387" s="58">
        <v>19</v>
      </c>
      <c r="C387" s="123">
        <v>271.66</v>
      </c>
      <c r="D387" s="123">
        <v>275.51</v>
      </c>
      <c r="E387" s="123">
        <v>287.86</v>
      </c>
      <c r="F387" s="123">
        <v>0</v>
      </c>
      <c r="G387" s="123">
        <v>276.28</v>
      </c>
      <c r="H387" s="123">
        <v>208.23</v>
      </c>
      <c r="I387" s="123">
        <v>232.87</v>
      </c>
      <c r="J387" s="123">
        <v>249.89</v>
      </c>
      <c r="K387" s="123">
        <v>232.58</v>
      </c>
      <c r="L387" s="123">
        <v>150.15</v>
      </c>
      <c r="M387" s="123">
        <v>153.18</v>
      </c>
      <c r="N387" s="123">
        <v>294.12</v>
      </c>
      <c r="O387" s="123">
        <v>609.28</v>
      </c>
      <c r="P387" s="123">
        <v>0</v>
      </c>
      <c r="Q387" s="123">
        <v>257.37</v>
      </c>
    </row>
    <row r="388" spans="1:17" ht="15">
      <c r="A388" s="130" t="s">
        <v>579</v>
      </c>
      <c r="B388" s="58">
        <v>27</v>
      </c>
      <c r="C388" s="123">
        <v>271.66</v>
      </c>
      <c r="D388" s="123">
        <v>275.51</v>
      </c>
      <c r="E388" s="123">
        <v>287.86</v>
      </c>
      <c r="F388" s="123">
        <v>0</v>
      </c>
      <c r="G388" s="123">
        <v>276.28</v>
      </c>
      <c r="H388" s="123">
        <v>208.23</v>
      </c>
      <c r="I388" s="123">
        <v>232.87</v>
      </c>
      <c r="J388" s="123">
        <v>249.89</v>
      </c>
      <c r="K388" s="123">
        <v>232.58</v>
      </c>
      <c r="L388" s="123">
        <v>150.15</v>
      </c>
      <c r="M388" s="123">
        <v>153.18</v>
      </c>
      <c r="N388" s="123">
        <v>294.12</v>
      </c>
      <c r="O388" s="123">
        <v>609.28</v>
      </c>
      <c r="P388" s="123">
        <v>0</v>
      </c>
      <c r="Q388" s="123">
        <v>257.37</v>
      </c>
    </row>
    <row r="389" spans="1:17" ht="15">
      <c r="A389" s="130" t="s">
        <v>580</v>
      </c>
      <c r="B389" s="58">
        <v>42</v>
      </c>
      <c r="C389" s="123">
        <v>309.3</v>
      </c>
      <c r="D389" s="123">
        <v>312.6</v>
      </c>
      <c r="E389" s="123">
        <v>319.78</v>
      </c>
      <c r="F389" s="123">
        <v>0</v>
      </c>
      <c r="G389" s="123">
        <v>301.21</v>
      </c>
      <c r="H389" s="123">
        <v>229.31</v>
      </c>
      <c r="I389" s="123">
        <v>258.51</v>
      </c>
      <c r="J389" s="123">
        <v>269.43</v>
      </c>
      <c r="K389" s="123">
        <v>272.46</v>
      </c>
      <c r="L389" s="123">
        <v>173.67</v>
      </c>
      <c r="M389" s="123">
        <v>165.11</v>
      </c>
      <c r="N389" s="123">
        <v>316.84</v>
      </c>
      <c r="O389" s="123">
        <v>631.24</v>
      </c>
      <c r="P389" s="123">
        <v>0</v>
      </c>
      <c r="Q389" s="123">
        <v>284.06</v>
      </c>
    </row>
    <row r="390" spans="1:17" ht="15">
      <c r="A390" s="130" t="s">
        <v>581</v>
      </c>
      <c r="B390" s="58">
        <v>65</v>
      </c>
      <c r="C390" s="123">
        <v>363.96</v>
      </c>
      <c r="D390" s="123">
        <v>369.03</v>
      </c>
      <c r="E390" s="123">
        <v>355.96</v>
      </c>
      <c r="F390" s="123">
        <v>0</v>
      </c>
      <c r="G390" s="123">
        <v>330.67</v>
      </c>
      <c r="H390" s="123">
        <v>254.9</v>
      </c>
      <c r="I390" s="123">
        <v>290.45</v>
      </c>
      <c r="J390" s="123">
        <v>298.68</v>
      </c>
      <c r="K390" s="123">
        <v>290.15</v>
      </c>
      <c r="L390" s="123">
        <v>185.94</v>
      </c>
      <c r="M390" s="123">
        <v>183.53</v>
      </c>
      <c r="N390" s="123">
        <v>347.54</v>
      </c>
      <c r="O390" s="123">
        <v>682.22</v>
      </c>
      <c r="P390" s="123">
        <v>0</v>
      </c>
      <c r="Q390" s="123">
        <v>321.01</v>
      </c>
    </row>
    <row r="391" spans="1:17" ht="15">
      <c r="A391" s="130" t="s">
        <v>582</v>
      </c>
      <c r="B391" s="58">
        <v>80</v>
      </c>
      <c r="C391" s="123">
        <v>370.36</v>
      </c>
      <c r="D391" s="123">
        <v>377.52</v>
      </c>
      <c r="E391" s="123">
        <v>338.34</v>
      </c>
      <c r="F391" s="123">
        <v>0</v>
      </c>
      <c r="G391" s="123">
        <v>316.28</v>
      </c>
      <c r="H391" s="123">
        <v>239.86</v>
      </c>
      <c r="I391" s="123">
        <v>273.68</v>
      </c>
      <c r="J391" s="123">
        <v>281.25</v>
      </c>
      <c r="K391" s="123">
        <v>287.76</v>
      </c>
      <c r="L391" s="123">
        <v>183.21</v>
      </c>
      <c r="M391" s="123">
        <v>173.02</v>
      </c>
      <c r="N391" s="123">
        <v>333.94</v>
      </c>
      <c r="O391" s="123">
        <v>687.93</v>
      </c>
      <c r="P391" s="123">
        <v>0</v>
      </c>
      <c r="Q391" s="123">
        <v>309.37</v>
      </c>
    </row>
    <row r="392" spans="1:17" ht="15">
      <c r="A392" s="130" t="s">
        <v>583</v>
      </c>
      <c r="B392" s="58">
        <v>83</v>
      </c>
      <c r="C392" s="123">
        <v>370.36</v>
      </c>
      <c r="D392" s="123">
        <v>377.52</v>
      </c>
      <c r="E392" s="123">
        <v>337.35</v>
      </c>
      <c r="F392" s="123">
        <v>0</v>
      </c>
      <c r="G392" s="123">
        <v>316.28</v>
      </c>
      <c r="H392" s="123">
        <v>239.86</v>
      </c>
      <c r="I392" s="123">
        <v>273.68</v>
      </c>
      <c r="J392" s="123">
        <v>281.25</v>
      </c>
      <c r="K392" s="123">
        <v>287.76</v>
      </c>
      <c r="L392" s="123">
        <v>183.21</v>
      </c>
      <c r="M392" s="123">
        <v>173.02</v>
      </c>
      <c r="N392" s="123">
        <v>333.94</v>
      </c>
      <c r="O392" s="123">
        <v>687.93</v>
      </c>
      <c r="P392" s="123">
        <v>0</v>
      </c>
      <c r="Q392" s="123">
        <v>309.37</v>
      </c>
    </row>
    <row r="393" spans="1:17" ht="15">
      <c r="A393" s="130" t="s">
        <v>584</v>
      </c>
      <c r="B393" s="58">
        <v>104</v>
      </c>
      <c r="C393" s="123">
        <v>391.55</v>
      </c>
      <c r="D393" s="123">
        <v>399.36</v>
      </c>
      <c r="E393" s="123">
        <v>371.25</v>
      </c>
      <c r="F393" s="123">
        <v>0</v>
      </c>
      <c r="G393" s="123">
        <v>341.81</v>
      </c>
      <c r="H393" s="123">
        <v>264.55</v>
      </c>
      <c r="I393" s="123">
        <v>303.4</v>
      </c>
      <c r="J393" s="123">
        <v>303.87</v>
      </c>
      <c r="K393" s="123">
        <v>281.04</v>
      </c>
      <c r="L393" s="123">
        <v>181.73</v>
      </c>
      <c r="M393" s="123">
        <v>160.21</v>
      </c>
      <c r="N393" s="123">
        <v>358.74</v>
      </c>
      <c r="O393" s="123">
        <v>707.58</v>
      </c>
      <c r="P393" s="123">
        <v>0</v>
      </c>
      <c r="Q393" s="123">
        <v>333.1</v>
      </c>
    </row>
    <row r="394" spans="1:17" ht="15">
      <c r="A394" s="130" t="s">
        <v>585</v>
      </c>
      <c r="B394" s="58">
        <v>113</v>
      </c>
      <c r="C394" s="123">
        <v>391.55</v>
      </c>
      <c r="D394" s="123">
        <v>399.36</v>
      </c>
      <c r="E394" s="123">
        <v>371.25</v>
      </c>
      <c r="F394" s="123">
        <v>0</v>
      </c>
      <c r="G394" s="123">
        <v>341.81</v>
      </c>
      <c r="H394" s="123">
        <v>264.55</v>
      </c>
      <c r="I394" s="123">
        <v>303.4</v>
      </c>
      <c r="J394" s="123">
        <v>303.87</v>
      </c>
      <c r="K394" s="123">
        <v>281.04</v>
      </c>
      <c r="L394" s="123">
        <v>181.73</v>
      </c>
      <c r="M394" s="123">
        <v>160.21</v>
      </c>
      <c r="N394" s="123">
        <v>358.74</v>
      </c>
      <c r="O394" s="123">
        <v>707.58</v>
      </c>
      <c r="P394" s="123">
        <v>0</v>
      </c>
      <c r="Q394" s="123">
        <v>333.1</v>
      </c>
    </row>
    <row r="395" spans="1:17" ht="15">
      <c r="A395" s="130" t="s">
        <v>588</v>
      </c>
      <c r="B395" s="58">
        <v>124</v>
      </c>
      <c r="C395" s="123">
        <v>387.4</v>
      </c>
      <c r="D395" s="123">
        <v>397.96</v>
      </c>
      <c r="E395" s="123">
        <v>372.61</v>
      </c>
      <c r="F395" s="123">
        <v>0</v>
      </c>
      <c r="G395" s="123">
        <v>350.1</v>
      </c>
      <c r="H395" s="123">
        <v>271.15</v>
      </c>
      <c r="I395" s="123">
        <v>315.01</v>
      </c>
      <c r="J395" s="123">
        <v>310.46</v>
      </c>
      <c r="K395" s="123">
        <v>294.4</v>
      </c>
      <c r="L395" s="123">
        <v>190.07</v>
      </c>
      <c r="M395" s="123">
        <v>181.94</v>
      </c>
      <c r="N395" s="123">
        <v>365.57</v>
      </c>
      <c r="O395" s="123">
        <v>691.8</v>
      </c>
      <c r="P395" s="123">
        <v>0</v>
      </c>
      <c r="Q395" s="123">
        <v>344.4</v>
      </c>
    </row>
    <row r="396" spans="1:17" ht="15">
      <c r="A396" s="130" t="s">
        <v>587</v>
      </c>
      <c r="B396" s="58">
        <v>144</v>
      </c>
      <c r="C396" s="123">
        <v>401.67</v>
      </c>
      <c r="D396" s="123">
        <v>414.29</v>
      </c>
      <c r="E396" s="123">
        <v>376.54</v>
      </c>
      <c r="F396" s="123">
        <v>0</v>
      </c>
      <c r="G396" s="123">
        <v>362.62</v>
      </c>
      <c r="H396" s="123">
        <v>285.55</v>
      </c>
      <c r="I396" s="123">
        <v>326.64</v>
      </c>
      <c r="J396" s="123">
        <v>318.94</v>
      </c>
      <c r="K396" s="123">
        <v>322.7</v>
      </c>
      <c r="L396" s="123">
        <v>206.94</v>
      </c>
      <c r="M396" s="123">
        <v>213.14</v>
      </c>
      <c r="N396" s="123">
        <v>379.14</v>
      </c>
      <c r="O396" s="123">
        <v>717.22</v>
      </c>
      <c r="P396" s="123">
        <v>0</v>
      </c>
      <c r="Q396" s="123">
        <v>358.35</v>
      </c>
    </row>
    <row r="397" spans="1:17" ht="15">
      <c r="A397" s="130" t="s">
        <v>586</v>
      </c>
      <c r="B397" s="58">
        <v>154</v>
      </c>
      <c r="C397" s="123">
        <v>401.67</v>
      </c>
      <c r="D397" s="123">
        <v>414.29</v>
      </c>
      <c r="E397" s="123">
        <v>376.54</v>
      </c>
      <c r="F397" s="123">
        <v>0</v>
      </c>
      <c r="G397" s="123">
        <v>362.62</v>
      </c>
      <c r="H397" s="123">
        <v>285.55</v>
      </c>
      <c r="I397" s="123">
        <v>326.64</v>
      </c>
      <c r="J397" s="123">
        <v>318.94</v>
      </c>
      <c r="K397" s="123">
        <v>322.7</v>
      </c>
      <c r="L397" s="123">
        <v>206.94</v>
      </c>
      <c r="M397" s="123">
        <v>213.14</v>
      </c>
      <c r="N397" s="123">
        <v>379.14</v>
      </c>
      <c r="O397" s="123">
        <v>717.22</v>
      </c>
      <c r="P397" s="123">
        <v>0</v>
      </c>
      <c r="Q397" s="123">
        <v>358.35</v>
      </c>
    </row>
    <row r="398" spans="1:17" ht="15">
      <c r="A398" s="130" t="s">
        <v>589</v>
      </c>
      <c r="B398" s="58">
        <v>167</v>
      </c>
      <c r="C398" s="123">
        <v>393.27</v>
      </c>
      <c r="D398" s="123">
        <v>403.54</v>
      </c>
      <c r="E398" s="123">
        <v>367.28</v>
      </c>
      <c r="F398" s="123">
        <v>0</v>
      </c>
      <c r="G398" s="123">
        <v>355.37</v>
      </c>
      <c r="H398" s="123">
        <v>276.1</v>
      </c>
      <c r="I398" s="123">
        <v>319.12</v>
      </c>
      <c r="J398" s="123">
        <v>312.89</v>
      </c>
      <c r="K398" s="123">
        <v>310.82</v>
      </c>
      <c r="L398" s="123">
        <v>199.47</v>
      </c>
      <c r="M398" s="123">
        <v>221.11</v>
      </c>
      <c r="N398" s="123">
        <v>384.13</v>
      </c>
      <c r="O398" s="123">
        <v>742.41</v>
      </c>
      <c r="P398" s="123">
        <v>0</v>
      </c>
      <c r="Q398" s="123">
        <v>355.71</v>
      </c>
    </row>
    <row r="399" spans="1:17" ht="15">
      <c r="A399" s="130" t="s">
        <v>590</v>
      </c>
      <c r="B399" s="58">
        <v>187</v>
      </c>
      <c r="C399" s="123">
        <v>389.62</v>
      </c>
      <c r="D399" s="123">
        <v>397.2</v>
      </c>
      <c r="E399" s="123">
        <v>374.63</v>
      </c>
      <c r="F399" s="123">
        <v>0</v>
      </c>
      <c r="G399" s="123">
        <v>368.11</v>
      </c>
      <c r="H399" s="123">
        <v>292.86</v>
      </c>
      <c r="I399" s="123">
        <v>333.36</v>
      </c>
      <c r="J399" s="123">
        <v>327</v>
      </c>
      <c r="K399" s="123">
        <v>288.75</v>
      </c>
      <c r="L399" s="123">
        <v>188.67</v>
      </c>
      <c r="M399" s="123">
        <v>237.47</v>
      </c>
      <c r="N399" s="123">
        <v>397.02</v>
      </c>
      <c r="O399" s="123">
        <v>727.12</v>
      </c>
      <c r="P399" s="123">
        <v>0</v>
      </c>
      <c r="Q399" s="123">
        <v>364.6</v>
      </c>
    </row>
    <row r="400" spans="1:17" ht="15">
      <c r="A400" s="130" t="s">
        <v>591</v>
      </c>
      <c r="B400" s="58">
        <v>207</v>
      </c>
      <c r="C400" s="123">
        <v>395.72</v>
      </c>
      <c r="D400" s="123">
        <v>398.98</v>
      </c>
      <c r="E400" s="123">
        <v>398.83</v>
      </c>
      <c r="F400" s="123">
        <v>0</v>
      </c>
      <c r="G400" s="123">
        <v>409.01</v>
      </c>
      <c r="H400" s="123">
        <v>325.74</v>
      </c>
      <c r="I400" s="123">
        <v>370.11</v>
      </c>
      <c r="J400" s="123">
        <v>363.57</v>
      </c>
      <c r="K400" s="123">
        <v>324.16</v>
      </c>
      <c r="L400" s="123">
        <v>211.52</v>
      </c>
      <c r="M400" s="123">
        <v>284.41</v>
      </c>
      <c r="N400" s="123">
        <v>423.64</v>
      </c>
      <c r="O400" s="123">
        <v>733.35</v>
      </c>
      <c r="P400" s="123">
        <v>0</v>
      </c>
      <c r="Q400" s="123">
        <v>398.11</v>
      </c>
    </row>
    <row r="401" spans="1:17" ht="15">
      <c r="A401" s="130" t="s">
        <v>592</v>
      </c>
      <c r="B401" s="58">
        <v>219</v>
      </c>
      <c r="C401" s="123">
        <v>395.72</v>
      </c>
      <c r="D401" s="123">
        <v>398.98</v>
      </c>
      <c r="E401" s="123">
        <v>398.83</v>
      </c>
      <c r="F401" s="123">
        <v>0</v>
      </c>
      <c r="G401" s="123">
        <v>409.01</v>
      </c>
      <c r="H401" s="123">
        <v>325.74</v>
      </c>
      <c r="I401" s="123">
        <v>370.11</v>
      </c>
      <c r="J401" s="123">
        <v>363.57</v>
      </c>
      <c r="K401" s="123">
        <v>324.16</v>
      </c>
      <c r="L401" s="123">
        <v>211.52</v>
      </c>
      <c r="M401" s="123">
        <v>284.41</v>
      </c>
      <c r="N401" s="123">
        <v>423.64</v>
      </c>
      <c r="O401" s="123">
        <v>733.35</v>
      </c>
      <c r="P401" s="123">
        <v>0</v>
      </c>
      <c r="Q401" s="123">
        <v>398.11</v>
      </c>
    </row>
    <row r="402" spans="1:17" ht="15">
      <c r="A402" s="130" t="s">
        <v>593</v>
      </c>
      <c r="B402" s="58">
        <v>231</v>
      </c>
      <c r="C402" s="123">
        <v>423.21</v>
      </c>
      <c r="D402" s="123">
        <v>426.98</v>
      </c>
      <c r="E402" s="123">
        <v>426.17</v>
      </c>
      <c r="F402" s="123">
        <v>0</v>
      </c>
      <c r="G402" s="123">
        <v>438.31</v>
      </c>
      <c r="H402" s="123">
        <v>322.85</v>
      </c>
      <c r="I402" s="123">
        <v>378.54</v>
      </c>
      <c r="J402" s="123">
        <v>375.94</v>
      </c>
      <c r="K402" s="123">
        <v>362.74</v>
      </c>
      <c r="L402" s="123">
        <v>232.84</v>
      </c>
      <c r="M402" s="123">
        <v>285.64</v>
      </c>
      <c r="N402" s="123">
        <v>452.04</v>
      </c>
      <c r="O402" s="123">
        <v>780.28</v>
      </c>
      <c r="P402" s="123">
        <v>0</v>
      </c>
      <c r="Q402" s="123">
        <v>426.09</v>
      </c>
    </row>
    <row r="403" spans="1:17" ht="15">
      <c r="A403" s="130" t="s">
        <v>594</v>
      </c>
      <c r="B403" s="58">
        <v>247</v>
      </c>
      <c r="C403" s="123">
        <v>375</v>
      </c>
      <c r="D403" s="123">
        <v>370.26</v>
      </c>
      <c r="E403" s="123">
        <v>388.51</v>
      </c>
      <c r="F403" s="123">
        <v>0</v>
      </c>
      <c r="G403" s="123">
        <v>391.03</v>
      </c>
      <c r="H403" s="123">
        <v>275.64</v>
      </c>
      <c r="I403" s="123">
        <v>324.43</v>
      </c>
      <c r="J403" s="123">
        <v>326.78</v>
      </c>
      <c r="K403" s="123">
        <v>347.27</v>
      </c>
      <c r="L403" s="123">
        <v>218.38</v>
      </c>
      <c r="M403" s="123">
        <v>210.35</v>
      </c>
      <c r="N403" s="123">
        <v>420.9</v>
      </c>
      <c r="O403" s="123">
        <v>719.29</v>
      </c>
      <c r="P403" s="123">
        <v>0</v>
      </c>
      <c r="Q403" s="123">
        <v>373.24</v>
      </c>
    </row>
    <row r="404" spans="1:17" ht="15">
      <c r="A404" s="130" t="s">
        <v>596</v>
      </c>
      <c r="B404" s="58">
        <v>8</v>
      </c>
      <c r="C404" s="123">
        <v>375</v>
      </c>
      <c r="D404" s="123">
        <v>370.26</v>
      </c>
      <c r="E404" s="123">
        <v>388.51</v>
      </c>
      <c r="F404" s="123">
        <v>0</v>
      </c>
      <c r="G404" s="123">
        <v>391.03</v>
      </c>
      <c r="H404" s="123">
        <v>275.64</v>
      </c>
      <c r="I404" s="123">
        <v>324.43</v>
      </c>
      <c r="J404" s="123">
        <v>326.78</v>
      </c>
      <c r="K404" s="123">
        <v>347.27</v>
      </c>
      <c r="L404" s="123">
        <v>218.38</v>
      </c>
      <c r="M404" s="123">
        <v>210.35</v>
      </c>
      <c r="N404" s="123">
        <v>420.9</v>
      </c>
      <c r="O404" s="123">
        <v>719.29</v>
      </c>
      <c r="P404" s="123">
        <v>0</v>
      </c>
      <c r="Q404" s="123">
        <v>373.24</v>
      </c>
    </row>
    <row r="405" spans="1:17" ht="15">
      <c r="A405" s="130" t="s">
        <v>597</v>
      </c>
      <c r="B405" s="58">
        <v>20</v>
      </c>
      <c r="C405" s="123">
        <v>416.89</v>
      </c>
      <c r="D405" s="123">
        <v>420.98</v>
      </c>
      <c r="E405" s="123">
        <v>445.5</v>
      </c>
      <c r="F405" s="123">
        <v>0</v>
      </c>
      <c r="G405" s="123">
        <v>448.42</v>
      </c>
      <c r="H405" s="123">
        <v>333.07</v>
      </c>
      <c r="I405" s="123">
        <v>386.26</v>
      </c>
      <c r="J405" s="123">
        <v>383.85</v>
      </c>
      <c r="K405" s="123">
        <v>347.63</v>
      </c>
      <c r="L405" s="123">
        <v>225.92</v>
      </c>
      <c r="M405" s="123">
        <v>243.42</v>
      </c>
      <c r="N405" s="123">
        <v>479.64</v>
      </c>
      <c r="O405" s="123">
        <v>737.26</v>
      </c>
      <c r="P405" s="123">
        <v>0</v>
      </c>
      <c r="Q405" s="123">
        <v>429.3</v>
      </c>
    </row>
    <row r="406" spans="1:17" ht="15">
      <c r="A406" s="130" t="s">
        <v>598</v>
      </c>
      <c r="B406" s="58">
        <v>27</v>
      </c>
      <c r="C406" s="123">
        <v>416.89</v>
      </c>
      <c r="D406" s="123">
        <v>420.98</v>
      </c>
      <c r="E406" s="123">
        <v>445.5</v>
      </c>
      <c r="F406" s="123">
        <v>0</v>
      </c>
      <c r="G406" s="123">
        <v>448.42</v>
      </c>
      <c r="H406" s="123">
        <v>333.07</v>
      </c>
      <c r="I406" s="123">
        <v>386.26</v>
      </c>
      <c r="J406" s="123">
        <v>383.85</v>
      </c>
      <c r="K406" s="123">
        <v>347.63</v>
      </c>
      <c r="L406" s="123">
        <v>225.92</v>
      </c>
      <c r="M406" s="123">
        <v>243.42</v>
      </c>
      <c r="N406" s="123">
        <v>479.64</v>
      </c>
      <c r="O406" s="123">
        <v>737.26</v>
      </c>
      <c r="P406" s="123">
        <v>0</v>
      </c>
      <c r="Q406" s="123">
        <v>429.3</v>
      </c>
    </row>
    <row r="407" spans="1:17" ht="15">
      <c r="A407" s="130" t="s">
        <v>599</v>
      </c>
      <c r="B407" s="58">
        <v>40</v>
      </c>
      <c r="C407" s="123">
        <v>472.4</v>
      </c>
      <c r="D407" s="123">
        <v>478.15</v>
      </c>
      <c r="E407" s="123">
        <v>498.6</v>
      </c>
      <c r="F407" s="123">
        <v>0</v>
      </c>
      <c r="G407" s="123">
        <v>494.64</v>
      </c>
      <c r="H407" s="123">
        <v>380.94</v>
      </c>
      <c r="I407" s="123">
        <v>442.08</v>
      </c>
      <c r="J407" s="123">
        <v>428.73</v>
      </c>
      <c r="K407" s="123">
        <v>394.09</v>
      </c>
      <c r="L407" s="123">
        <v>255.76</v>
      </c>
      <c r="M407" s="123">
        <v>267.11</v>
      </c>
      <c r="N407" s="123">
        <v>521.54</v>
      </c>
      <c r="O407" s="123">
        <v>749.04</v>
      </c>
      <c r="P407" s="123">
        <v>0</v>
      </c>
      <c r="Q407" s="123">
        <v>485</v>
      </c>
    </row>
    <row r="408" spans="1:17" ht="15">
      <c r="A408" s="130" t="s">
        <v>600</v>
      </c>
      <c r="B408" s="58">
        <v>61</v>
      </c>
      <c r="C408" s="123">
        <v>557.41</v>
      </c>
      <c r="D408" s="123">
        <v>565.74</v>
      </c>
      <c r="E408" s="123">
        <v>619.41</v>
      </c>
      <c r="F408" s="123">
        <v>0</v>
      </c>
      <c r="G408" s="123">
        <v>594.54</v>
      </c>
      <c r="H408" s="123">
        <v>439.42</v>
      </c>
      <c r="I408" s="123">
        <v>528.96</v>
      </c>
      <c r="J408" s="123">
        <v>516</v>
      </c>
      <c r="K408" s="123">
        <v>441.53</v>
      </c>
      <c r="L408" s="123">
        <v>287.71</v>
      </c>
      <c r="M408" s="123">
        <v>313.08</v>
      </c>
      <c r="N408" s="123">
        <v>621.33</v>
      </c>
      <c r="O408" s="123">
        <v>828.91</v>
      </c>
      <c r="P408" s="123">
        <v>0</v>
      </c>
      <c r="Q408" s="123">
        <v>581.15</v>
      </c>
    </row>
    <row r="409" spans="1:17" ht="15">
      <c r="A409" s="130" t="s">
        <v>601</v>
      </c>
      <c r="B409" s="58">
        <v>81</v>
      </c>
      <c r="C409" s="123">
        <v>595.51</v>
      </c>
      <c r="D409" s="123">
        <v>607.8</v>
      </c>
      <c r="E409" s="123">
        <v>678.65</v>
      </c>
      <c r="F409" s="123">
        <v>0</v>
      </c>
      <c r="G409" s="123">
        <v>693.9</v>
      </c>
      <c r="H409" s="123">
        <v>452.11</v>
      </c>
      <c r="I409" s="123">
        <v>553.68</v>
      </c>
      <c r="J409" s="123">
        <v>536.63</v>
      </c>
      <c r="K409" s="123">
        <v>498.02</v>
      </c>
      <c r="L409" s="123">
        <v>320.5</v>
      </c>
      <c r="M409" s="123">
        <v>296.12</v>
      </c>
      <c r="N409" s="123">
        <v>734.66</v>
      </c>
      <c r="O409" s="123">
        <v>950.14</v>
      </c>
      <c r="P409" s="123">
        <v>0</v>
      </c>
      <c r="Q409" s="123">
        <v>656.85</v>
      </c>
    </row>
    <row r="410" spans="1:17" ht="15">
      <c r="A410" s="130" t="s">
        <v>603</v>
      </c>
      <c r="B410" s="58">
        <v>90</v>
      </c>
      <c r="C410" s="123">
        <v>595.51</v>
      </c>
      <c r="D410" s="123">
        <v>607.8</v>
      </c>
      <c r="E410" s="123">
        <v>678.65</v>
      </c>
      <c r="F410" s="123">
        <v>0</v>
      </c>
      <c r="G410" s="123">
        <v>693.9</v>
      </c>
      <c r="H410" s="123">
        <v>452.11</v>
      </c>
      <c r="I410" s="123">
        <v>553.68</v>
      </c>
      <c r="J410" s="123">
        <v>536.63</v>
      </c>
      <c r="K410" s="123">
        <v>498.02</v>
      </c>
      <c r="L410" s="123">
        <v>320.5</v>
      </c>
      <c r="M410" s="123">
        <v>296.12</v>
      </c>
      <c r="N410" s="123">
        <v>734.66</v>
      </c>
      <c r="O410" s="123">
        <v>950.14</v>
      </c>
      <c r="P410" s="123">
        <v>0</v>
      </c>
      <c r="Q410" s="123">
        <v>656.85</v>
      </c>
    </row>
  </sheetData>
  <sheetProtection/>
  <mergeCells count="9">
    <mergeCell ref="A4:A5"/>
    <mergeCell ref="B1:Q3"/>
    <mergeCell ref="E4:E5"/>
    <mergeCell ref="G4:G5"/>
    <mergeCell ref="H4:H5"/>
    <mergeCell ref="K4:K5"/>
    <mergeCell ref="B4:B5"/>
    <mergeCell ref="N4:N5"/>
    <mergeCell ref="O4:O5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6"/>
  <sheetViews>
    <sheetView showGridLines="0" tabSelected="1" zoomScalePageLayoutView="0" workbookViewId="0" topLeftCell="A1">
      <pane ySplit="6" topLeftCell="A326" activePane="bottomLeft" state="frozen"/>
      <selection pane="topLeft" activeCell="A1" sqref="A1"/>
      <selection pane="bottomLeft" activeCell="M349" sqref="M349"/>
    </sheetView>
  </sheetViews>
  <sheetFormatPr defaultColWidth="11.421875" defaultRowHeight="12.75"/>
  <cols>
    <col min="1" max="1" width="33.8515625" style="15" bestFit="1" customWidth="1"/>
    <col min="2" max="3" width="12.57421875" style="15" customWidth="1"/>
    <col min="4" max="4" width="11.00390625" style="15" customWidth="1"/>
    <col min="5" max="5" width="11.7109375" style="15" customWidth="1"/>
    <col min="6" max="6" width="13.00390625" style="15" bestFit="1" customWidth="1"/>
    <col min="7" max="7" width="11.00390625" style="15" customWidth="1"/>
    <col min="8" max="8" width="15.421875" style="15" customWidth="1"/>
    <col min="9" max="9" width="19.00390625" style="15" customWidth="1"/>
    <col min="10" max="10" width="11.8515625" style="15" customWidth="1"/>
    <col min="11" max="11" width="17.8515625" style="15" bestFit="1" customWidth="1"/>
    <col min="12" max="12" width="13.8515625" style="15" customWidth="1"/>
    <col min="13" max="13" width="10.8515625" style="15" customWidth="1"/>
    <col min="14" max="14" width="11.28125" style="15" customWidth="1"/>
    <col min="15" max="15" width="11.7109375" style="15" customWidth="1"/>
    <col min="16" max="16" width="12.421875" style="15" customWidth="1"/>
    <col min="17" max="16384" width="11.421875" style="15" customWidth="1"/>
  </cols>
  <sheetData>
    <row r="1" spans="2:16" ht="15.75" customHeight="1">
      <c r="B1" s="146" t="s">
        <v>117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2:16" ht="15.75" customHeight="1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2:16" ht="15.7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2:16" ht="15.75" thickBo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ht="15">
      <c r="A5" s="149" t="s">
        <v>0</v>
      </c>
      <c r="B5" s="18" t="s">
        <v>2</v>
      </c>
      <c r="C5" s="18" t="s">
        <v>2</v>
      </c>
      <c r="D5" s="153" t="s">
        <v>3</v>
      </c>
      <c r="E5" s="18" t="s">
        <v>3</v>
      </c>
      <c r="F5" s="151" t="s">
        <v>4</v>
      </c>
      <c r="G5" s="151" t="s">
        <v>474</v>
      </c>
      <c r="H5" s="19" t="s">
        <v>474</v>
      </c>
      <c r="I5" s="18" t="s">
        <v>475</v>
      </c>
      <c r="J5" s="151" t="s">
        <v>5</v>
      </c>
      <c r="K5" s="18" t="s">
        <v>471</v>
      </c>
      <c r="L5" s="18" t="s">
        <v>6</v>
      </c>
      <c r="M5" s="151" t="s">
        <v>8</v>
      </c>
      <c r="N5" s="18" t="s">
        <v>67</v>
      </c>
      <c r="O5" s="18" t="s">
        <v>67</v>
      </c>
      <c r="P5" s="151" t="s">
        <v>7</v>
      </c>
    </row>
    <row r="6" spans="1:16" ht="15.75" thickBot="1">
      <c r="A6" s="150"/>
      <c r="B6" s="17" t="s">
        <v>468</v>
      </c>
      <c r="C6" s="17" t="s">
        <v>472</v>
      </c>
      <c r="D6" s="154"/>
      <c r="E6" s="17">
        <v>0.5</v>
      </c>
      <c r="F6" s="152" t="s">
        <v>9</v>
      </c>
      <c r="G6" s="152" t="s">
        <v>9</v>
      </c>
      <c r="H6" s="17" t="s">
        <v>473</v>
      </c>
      <c r="I6" s="17" t="s">
        <v>476</v>
      </c>
      <c r="J6" s="152" t="s">
        <v>9</v>
      </c>
      <c r="K6" s="17" t="s">
        <v>470</v>
      </c>
      <c r="L6" s="17" t="s">
        <v>68</v>
      </c>
      <c r="M6" s="152" t="s">
        <v>9</v>
      </c>
      <c r="N6" s="17" t="s">
        <v>11</v>
      </c>
      <c r="O6" s="17" t="s">
        <v>69</v>
      </c>
      <c r="P6" s="152"/>
    </row>
    <row r="7" spans="1:16" ht="15.75">
      <c r="A7" s="104" t="s">
        <v>99</v>
      </c>
      <c r="B7" s="20">
        <f>26.4485+10.5513</f>
        <v>36.9998</v>
      </c>
      <c r="C7" s="20">
        <f>27.966+11.1438</f>
        <v>39.1098</v>
      </c>
      <c r="D7" s="20">
        <f>12.3927+7.2181</f>
        <v>19.610799999999998</v>
      </c>
      <c r="E7" s="20"/>
      <c r="F7" s="20">
        <v>0</v>
      </c>
      <c r="G7" s="20">
        <f>3.6974+3.6856</f>
        <v>7.383</v>
      </c>
      <c r="H7" s="20"/>
      <c r="I7" s="20">
        <f>5.3457+5.3273</f>
        <v>10.673</v>
      </c>
      <c r="J7" s="20">
        <f>5.4656+5.4474</f>
        <v>10.913</v>
      </c>
      <c r="K7" s="20">
        <f>4.6566+4.6404</f>
        <v>9.297</v>
      </c>
      <c r="L7" s="20">
        <f>5.0973+5.0807</f>
        <v>10.178</v>
      </c>
      <c r="M7" s="20">
        <f>24.8101+12.4399</f>
        <v>37.25</v>
      </c>
      <c r="N7" s="20">
        <v>7.654</v>
      </c>
      <c r="O7" s="20">
        <v>7.501</v>
      </c>
      <c r="P7" s="21">
        <f>6.9059+6.8831</f>
        <v>13.789</v>
      </c>
    </row>
    <row r="8" spans="1:16" ht="15.75">
      <c r="A8" s="105" t="s">
        <v>100</v>
      </c>
      <c r="B8" s="22">
        <f>25.62+10.2278</f>
        <v>35.8478</v>
      </c>
      <c r="C8" s="22">
        <f>27.09+10.8018</f>
        <v>37.8918</v>
      </c>
      <c r="D8" s="22">
        <f>12.0045+6.9993</f>
        <v>19.0038</v>
      </c>
      <c r="E8" s="22"/>
      <c r="F8" s="22">
        <v>0</v>
      </c>
      <c r="G8" s="22">
        <f>3.5816+3.5704</f>
        <v>7.151999999999999</v>
      </c>
      <c r="H8" s="22"/>
      <c r="I8" s="22">
        <f>5.1782+5.1608</f>
        <v>10.339</v>
      </c>
      <c r="J8" s="22">
        <f>5.2943+5.2767</f>
        <v>10.571</v>
      </c>
      <c r="K8" s="22">
        <f>4.5107+4.4963</f>
        <v>9.007</v>
      </c>
      <c r="L8" s="22">
        <f>4.9377+4.9203</f>
        <v>9.858</v>
      </c>
      <c r="M8" s="22">
        <f>24.0328+12.0512</f>
        <v>36.084</v>
      </c>
      <c r="N8" s="22">
        <v>7.414</v>
      </c>
      <c r="O8" s="22">
        <v>7.266</v>
      </c>
      <c r="P8" s="23">
        <f>6.6896+6.6674</f>
        <v>13.357</v>
      </c>
    </row>
    <row r="9" spans="1:16" ht="15.75">
      <c r="A9" s="105" t="s">
        <v>101</v>
      </c>
      <c r="B9" s="22">
        <f>24.7795+9.9013</f>
        <v>34.6808</v>
      </c>
      <c r="C9" s="22">
        <f>26.2012+10.4353</f>
        <v>36.6365</v>
      </c>
      <c r="D9" s="22">
        <f>11.6109+6.7779</f>
        <v>18.3888</v>
      </c>
      <c r="E9" s="22"/>
      <c r="F9" s="22">
        <v>0</v>
      </c>
      <c r="G9" s="22">
        <f>3.4641+3.4529</f>
        <v>6.917</v>
      </c>
      <c r="H9" s="22"/>
      <c r="I9" s="22">
        <f>5.0084+4.9916</f>
        <v>10</v>
      </c>
      <c r="J9" s="22">
        <f>5.1207+5.1033</f>
        <v>10.224</v>
      </c>
      <c r="K9" s="22">
        <f>4.3628+4.3482</f>
        <v>8.711</v>
      </c>
      <c r="L9" s="22">
        <f>4.9377+4.9203</f>
        <v>9.858</v>
      </c>
      <c r="M9" s="22">
        <f>23.2449+11.6551</f>
        <v>34.9</v>
      </c>
      <c r="N9" s="22">
        <v>7.172</v>
      </c>
      <c r="O9" s="22">
        <v>7.028</v>
      </c>
      <c r="P9" s="23">
        <f>6.4703+6.4477</f>
        <v>12.918</v>
      </c>
    </row>
    <row r="10" spans="1:16" ht="15.75">
      <c r="A10" s="105" t="s">
        <v>224</v>
      </c>
      <c r="B10" s="22">
        <f>23.968+9.5848</f>
        <v>33.5528</v>
      </c>
      <c r="C10" s="22">
        <f>25.3435+10.1203</f>
        <v>35.4638</v>
      </c>
      <c r="D10" s="22">
        <f>11.2308+6.563</f>
        <v>17.7938</v>
      </c>
      <c r="E10" s="22"/>
      <c r="F10" s="22">
        <v>0</v>
      </c>
      <c r="G10" s="22">
        <f>3.3507+3.3393</f>
        <v>6.6899999999999995</v>
      </c>
      <c r="H10" s="22"/>
      <c r="I10" s="22">
        <f>4.8444+4.8276</f>
        <v>9.672</v>
      </c>
      <c r="J10" s="22">
        <f>4.953+4.936</f>
        <v>9.889</v>
      </c>
      <c r="K10" s="22">
        <f>4.22+4.205</f>
        <v>8.425</v>
      </c>
      <c r="L10" s="22">
        <f>4.6193+4.6047</f>
        <v>9.224</v>
      </c>
      <c r="M10" s="22">
        <f>22.4837+11.2733</f>
        <v>33.757</v>
      </c>
      <c r="N10" s="22">
        <v>6.936</v>
      </c>
      <c r="O10" s="22">
        <v>6.797</v>
      </c>
      <c r="P10" s="23">
        <f>6.2583+6.2377</f>
        <v>12.496</v>
      </c>
    </row>
    <row r="11" spans="1:16" ht="15.75">
      <c r="A11" s="105" t="s">
        <v>225</v>
      </c>
      <c r="B11" s="22">
        <f>23.968+9.5848+12.496</f>
        <v>46.0488</v>
      </c>
      <c r="C11" s="22">
        <f>25.3435+10.1203+13.196</f>
        <v>48.6598</v>
      </c>
      <c r="D11" s="22">
        <f>11.2308+6.563+8.557</f>
        <v>26.3508</v>
      </c>
      <c r="E11" s="22"/>
      <c r="F11" s="22">
        <v>7.898</v>
      </c>
      <c r="G11" s="22">
        <f>2.904+3.786</f>
        <v>6.6899999999999995</v>
      </c>
      <c r="H11" s="22"/>
      <c r="I11" s="22">
        <f>4.8444+4.8276</f>
        <v>9.672</v>
      </c>
      <c r="J11" s="22">
        <f>4.953+4.936</f>
        <v>9.889</v>
      </c>
      <c r="K11" s="22">
        <f>4.22+4.205</f>
        <v>8.425</v>
      </c>
      <c r="L11" s="22">
        <f>4.0033+5.2207</f>
        <v>9.224</v>
      </c>
      <c r="M11" s="22">
        <f>22.4837+11.2733+14.699</f>
        <v>48.455999999999996</v>
      </c>
      <c r="N11" s="22">
        <v>6.936</v>
      </c>
      <c r="O11" s="22">
        <v>6.797</v>
      </c>
      <c r="P11" s="23">
        <f>6.2583+8.132+6.2377</f>
        <v>20.628</v>
      </c>
    </row>
    <row r="12" spans="1:16" ht="15.75">
      <c r="A12" s="105" t="s">
        <v>226</v>
      </c>
      <c r="B12" s="22">
        <f>23.968+9.3475+12.1885</f>
        <v>45.504</v>
      </c>
      <c r="C12" s="22">
        <f>25.3435+9.884+12.8875</f>
        <v>48.114999999999995</v>
      </c>
      <c r="D12" s="22">
        <f>11.2308+6.3267+8.2485</f>
        <v>25.806</v>
      </c>
      <c r="E12" s="22"/>
      <c r="F12" s="22">
        <v>7.626</v>
      </c>
      <c r="G12" s="22">
        <f>2.904+3.786</f>
        <v>6.6899999999999995</v>
      </c>
      <c r="H12" s="22"/>
      <c r="I12" s="22">
        <f>4.8444+4.8276</f>
        <v>9.672</v>
      </c>
      <c r="J12" s="22">
        <f>4.953+4.936</f>
        <v>9.889</v>
      </c>
      <c r="K12" s="22">
        <f>4.22+4.205</f>
        <v>8.425</v>
      </c>
      <c r="L12" s="22">
        <f>4.0033+5.2207</f>
        <v>9.224</v>
      </c>
      <c r="M12" s="22">
        <f>22.4837+11.2733+14.699</f>
        <v>48.455999999999996</v>
      </c>
      <c r="N12" s="22">
        <v>6.936</v>
      </c>
      <c r="O12" s="22">
        <v>6.797</v>
      </c>
      <c r="P12" s="23">
        <f>6.2583+8.132+6.2377</f>
        <v>20.628</v>
      </c>
    </row>
    <row r="13" spans="1:16" ht="15.75">
      <c r="A13" s="105" t="s">
        <v>227</v>
      </c>
      <c r="B13" s="22">
        <f>23.1995+9.0478+11.7977</f>
        <v>44.045</v>
      </c>
      <c r="C13" s="22">
        <f>24.531+9.5671+12.4739</f>
        <v>46.572</v>
      </c>
      <c r="D13" s="22">
        <f>10.8705+6.1237+7.9848</f>
        <v>24.979</v>
      </c>
      <c r="E13" s="22"/>
      <c r="F13" s="22">
        <v>7.382</v>
      </c>
      <c r="G13" s="22">
        <f>2.811+3.665</f>
        <v>6.476</v>
      </c>
      <c r="H13" s="22"/>
      <c r="I13" s="22">
        <f>4.689+4.674</f>
        <v>9.363</v>
      </c>
      <c r="J13" s="22">
        <f>4.7942+4.7788</f>
        <v>9.573</v>
      </c>
      <c r="K13" s="22">
        <f>4.0847+4.0703</f>
        <v>8.155</v>
      </c>
      <c r="L13" s="22">
        <f>3.875+5.053</f>
        <v>8.928</v>
      </c>
      <c r="M13" s="22">
        <f>24.531+9.5671+12.4739</f>
        <v>46.572</v>
      </c>
      <c r="N13" s="22">
        <v>6.714</v>
      </c>
      <c r="O13" s="22">
        <v>6.579</v>
      </c>
      <c r="P13" s="23">
        <f>6.0576+7.8719+6.0375</f>
        <v>19.967</v>
      </c>
    </row>
    <row r="14" spans="1:16" ht="15.75">
      <c r="A14" s="105" t="s">
        <v>276</v>
      </c>
      <c r="B14" s="22">
        <f>22.236+8.672+11.306</f>
        <v>42.214</v>
      </c>
      <c r="C14" s="22">
        <f>23.512+9.1697+11.9563</f>
        <v>44.638</v>
      </c>
      <c r="D14" s="22">
        <f>10.419+5.8694+7.6526</f>
        <v>23.941</v>
      </c>
      <c r="E14" s="22"/>
      <c r="F14" s="22">
        <v>7.075</v>
      </c>
      <c r="G14" s="22">
        <f>2.6941+3.5119</f>
        <v>6.2059999999999995</v>
      </c>
      <c r="H14" s="22"/>
      <c r="I14" s="22">
        <f>4.4943+4.4787</f>
        <v>8.972999999999999</v>
      </c>
      <c r="J14" s="22">
        <f>4.5951+4.5799</f>
        <v>9.175</v>
      </c>
      <c r="K14" s="22">
        <f>3.915+3.901</f>
        <v>7.816</v>
      </c>
      <c r="L14" s="22">
        <f>3.7141+4.8429</f>
        <v>8.557</v>
      </c>
      <c r="M14" s="22">
        <f>20.8586+10.4591+13.6373</f>
        <v>44.955</v>
      </c>
      <c r="N14" s="22">
        <v>6.435</v>
      </c>
      <c r="O14" s="22">
        <v>6.306</v>
      </c>
      <c r="P14" s="23">
        <f>5.806+7.5453+5.7867</f>
        <v>19.137999999999998</v>
      </c>
    </row>
    <row r="15" spans="1:16" ht="15.75">
      <c r="A15" s="105" t="s">
        <v>12</v>
      </c>
      <c r="B15" s="22">
        <f>18.8295+7.3435+9.574</f>
        <v>35.747</v>
      </c>
      <c r="C15" s="22">
        <f>19.91+7.7649+10.1251</f>
        <v>37.8</v>
      </c>
      <c r="D15" s="22">
        <f>8.8227+4.9701+6.4812</f>
        <v>20.274</v>
      </c>
      <c r="E15" s="22"/>
      <c r="F15" s="22">
        <v>5.991</v>
      </c>
      <c r="G15" s="22">
        <f>2.2814+2.9746</f>
        <v>5.256</v>
      </c>
      <c r="H15" s="22"/>
      <c r="I15" s="22">
        <f>3.8058+3.7932</f>
        <v>7.599</v>
      </c>
      <c r="J15" s="22">
        <f>3.891+3.878</f>
        <v>7.769</v>
      </c>
      <c r="K15" s="22">
        <f>3.3151+3.3049</f>
        <v>6.62</v>
      </c>
      <c r="L15" s="22">
        <f>3.1451+3.1009</f>
        <v>6.246</v>
      </c>
      <c r="M15" s="22">
        <f>17.6631+8.8568+11.5491</f>
        <v>38.069</v>
      </c>
      <c r="N15" s="22">
        <v>5.45</v>
      </c>
      <c r="O15" s="22">
        <v>5.34</v>
      </c>
      <c r="P15" s="23">
        <f>4.9165+6.3893+4.9002</f>
        <v>16.206000000000003</v>
      </c>
    </row>
    <row r="16" spans="1:16" ht="15.75">
      <c r="A16" s="105" t="s">
        <v>13</v>
      </c>
      <c r="B16" s="22">
        <f>19.663+7.6686+9.9994</f>
        <v>37.331</v>
      </c>
      <c r="C16" s="22">
        <f>20.7915+8.1087+10.5728</f>
        <v>39.473</v>
      </c>
      <c r="D16" s="22">
        <f>9.2133+5.1902+6.7675</f>
        <v>21.171</v>
      </c>
      <c r="E16" s="22"/>
      <c r="F16" s="22">
        <v>6.256</v>
      </c>
      <c r="G16" s="22">
        <f>2.3824+3.1066</f>
        <v>5.489</v>
      </c>
      <c r="H16" s="22"/>
      <c r="I16" s="22">
        <f>3.9743+3.9617</f>
        <v>7.936</v>
      </c>
      <c r="J16" s="22">
        <f>4.0634+4.0506</f>
        <v>8.114</v>
      </c>
      <c r="K16" s="22">
        <f>3.4619+3.4511</f>
        <v>6.913</v>
      </c>
      <c r="L16" s="22">
        <f>3.2843+4.2827</f>
        <v>7.567</v>
      </c>
      <c r="M16" s="22">
        <f>18.445+9.2489+12.0591</f>
        <v>39.753</v>
      </c>
      <c r="N16" s="22">
        <v>5.691</v>
      </c>
      <c r="O16" s="22">
        <v>5.576</v>
      </c>
      <c r="P16" s="23">
        <f>5.1342+6.6717+5.1171</f>
        <v>16.923000000000002</v>
      </c>
    </row>
    <row r="17" spans="1:16" ht="15.75">
      <c r="A17" s="106" t="s">
        <v>212</v>
      </c>
      <c r="B17" s="22">
        <f>18.7405+7.3088+9.5297</f>
        <v>35.579</v>
      </c>
      <c r="C17" s="22">
        <f>19.816+7.7282+10.0768</f>
        <v>37.621</v>
      </c>
      <c r="D17" s="22">
        <f>8.781+4.9466+6.4494</f>
        <v>20.177</v>
      </c>
      <c r="E17" s="22"/>
      <c r="F17" s="22">
        <v>5.963</v>
      </c>
      <c r="G17" s="22">
        <f>2.2706+2.9604</f>
        <v>5.231</v>
      </c>
      <c r="H17" s="22"/>
      <c r="I17" s="22">
        <f>3.7878+3.7752</f>
        <v>7.563</v>
      </c>
      <c r="J17" s="22">
        <f>3.8729+3.8591</f>
        <v>7.732</v>
      </c>
      <c r="K17" s="22">
        <f>3.2996+3.2884</f>
        <v>6.588</v>
      </c>
      <c r="L17" s="22">
        <f>3.1303+4.0807</f>
        <v>7.211</v>
      </c>
      <c r="M17" s="22">
        <f>17.5798+8.815+11.4932</f>
        <v>37.888</v>
      </c>
      <c r="N17" s="22">
        <v>5.424</v>
      </c>
      <c r="O17" s="22">
        <v>5.315</v>
      </c>
      <c r="P17" s="23">
        <f>4.8933+6.3587+4.877</f>
        <v>16.128999999999998</v>
      </c>
    </row>
    <row r="18" spans="1:16" ht="15.75">
      <c r="A18" s="105" t="s">
        <v>15</v>
      </c>
      <c r="B18" s="22">
        <f>24.46+9.5394+12.4376</f>
        <v>46.437</v>
      </c>
      <c r="C18" s="22">
        <f>25.8635+10.0868+13.1507</f>
        <v>49.101</v>
      </c>
      <c r="D18" s="22">
        <f>11.4609+6.4563+8.4178</f>
        <v>26.335</v>
      </c>
      <c r="E18" s="22"/>
      <c r="F18" s="22">
        <v>7.782</v>
      </c>
      <c r="G18" s="22">
        <f>2.9635+3.8645</f>
        <v>6.827999999999999</v>
      </c>
      <c r="H18" s="22"/>
      <c r="I18" s="22">
        <f>4.9439+4.9272</f>
        <v>9.8711</v>
      </c>
      <c r="J18" s="22">
        <f>5.0547+5.0373</f>
        <v>10.092</v>
      </c>
      <c r="K18" s="22">
        <f>4.3065+4.2915</f>
        <v>8.597999999999999</v>
      </c>
      <c r="L18" s="22">
        <f>4.0855+5.3265</f>
        <v>9.411999999999999</v>
      </c>
      <c r="M18" s="22">
        <f>22.9446+11.5051+5.0013</f>
        <v>39.451</v>
      </c>
      <c r="N18" s="22">
        <v>7.079</v>
      </c>
      <c r="O18" s="22">
        <v>6.937</v>
      </c>
      <c r="P18" s="23">
        <f>6.3867+8.2989+6.3654</f>
        <v>21.051000000000002</v>
      </c>
    </row>
    <row r="19" spans="1:16" ht="15.75">
      <c r="A19" s="105" t="s">
        <v>211</v>
      </c>
      <c r="B19" s="22">
        <f>26.4325+10.3087+13.4418</f>
        <v>50.183</v>
      </c>
      <c r="C19" s="22">
        <f>27.9495+10.9003+14.2122</f>
        <v>53.062</v>
      </c>
      <c r="D19" s="22">
        <f>12.3852+6.977+9.0968</f>
        <v>28.459000000000003</v>
      </c>
      <c r="E19" s="22"/>
      <c r="F19" s="22">
        <v>8.411</v>
      </c>
      <c r="G19" s="22">
        <f>3.2026+4.1754</f>
        <v>7.378</v>
      </c>
      <c r="H19" s="22"/>
      <c r="I19" s="22">
        <f>5.3426+5.3244</f>
        <v>10.667</v>
      </c>
      <c r="J19" s="22">
        <f>5.4624+5.4436</f>
        <v>10.905999999999999</v>
      </c>
      <c r="K19" s="22">
        <f>4.6538+4.6382</f>
        <v>9.292000000000002</v>
      </c>
      <c r="L19" s="22">
        <f>4.4151+5.7569</f>
        <v>10.172</v>
      </c>
      <c r="M19" s="22">
        <f>24.7954+12.4331+16.2105</f>
        <v>53.43899999999999</v>
      </c>
      <c r="N19" s="22">
        <v>7.649</v>
      </c>
      <c r="O19" s="22">
        <v>7.496</v>
      </c>
      <c r="P19" s="23">
        <f>6.9018+8.9694+6.8788</f>
        <v>22.75</v>
      </c>
    </row>
    <row r="20" spans="1:16" ht="15.75">
      <c r="A20" s="105" t="s">
        <v>228</v>
      </c>
      <c r="B20" s="22">
        <f>25.334+9.8803+12.8827</f>
        <v>48.097</v>
      </c>
      <c r="C20" s="22">
        <f>26.788+10.4473+13.6207</f>
        <v>50.856</v>
      </c>
      <c r="D20" s="22">
        <f>11.8704+6.687+8.7186</f>
        <v>27.276000000000003</v>
      </c>
      <c r="E20" s="22"/>
      <c r="F20" s="22">
        <v>8.061</v>
      </c>
      <c r="G20" s="22">
        <f>3.0694+4.0026</f>
        <v>7.072</v>
      </c>
      <c r="H20" s="22"/>
      <c r="I20" s="22">
        <f>5.1205+5.1025</f>
        <v>10.222999999999999</v>
      </c>
      <c r="J20" s="22">
        <f>5.2353+5.2177</f>
        <v>10.453</v>
      </c>
      <c r="K20" s="22">
        <f>4.4604+4.4446</f>
        <v>8.905000000000001</v>
      </c>
      <c r="L20" s="22">
        <f>4.2315+5.5175</f>
        <v>9.748999999999999</v>
      </c>
      <c r="M20" s="22">
        <f>23.7647+11.9163+15.537</f>
        <v>51.217999999999996</v>
      </c>
      <c r="N20" s="22">
        <v>7.332</v>
      </c>
      <c r="O20" s="22">
        <v>7.185</v>
      </c>
      <c r="P20" s="23">
        <f>6.615+8.595+6.593</f>
        <v>21.803</v>
      </c>
    </row>
    <row r="21" spans="1:16" ht="15.75">
      <c r="A21" s="105" t="s">
        <v>17</v>
      </c>
      <c r="B21" s="22">
        <f>28.7645+11.2182+14.6263</f>
        <v>54.609</v>
      </c>
      <c r="C21" s="22">
        <f>30.415+11.8618+15.4662</f>
        <v>57.743</v>
      </c>
      <c r="D21" s="22">
        <f>13.4778+7.5925+9.8997</f>
        <v>30.97</v>
      </c>
      <c r="E21" s="22"/>
      <c r="F21" s="22">
        <v>9.152</v>
      </c>
      <c r="G21" s="22">
        <f>3.485+4.544</f>
        <v>8.029</v>
      </c>
      <c r="H21" s="22"/>
      <c r="I21" s="22">
        <f>5.8139+5.7941</f>
        <v>11.608</v>
      </c>
      <c r="J21" s="22">
        <f>5.9442+5.9248</f>
        <v>11.869</v>
      </c>
      <c r="K21" s="22">
        <f>5.0643+5.0477</f>
        <v>10.112</v>
      </c>
      <c r="L21" s="22">
        <f>4.8045+6.2645</f>
        <v>11.068999999999999</v>
      </c>
      <c r="M21" s="22">
        <f>26.9826+13.5298+17.6416</f>
        <v>58.153999999999996</v>
      </c>
      <c r="N21" s="22">
        <v>8.324</v>
      </c>
      <c r="O21" s="22">
        <v>8.157</v>
      </c>
      <c r="P21" s="23">
        <f>7.5107+9.7597+7.4856</f>
        <v>24.756</v>
      </c>
    </row>
    <row r="22" spans="1:16" ht="15.75">
      <c r="A22" s="105" t="s">
        <v>229</v>
      </c>
      <c r="B22" s="22">
        <f>31.5425+12.3016+16.0389</f>
        <v>59.882999999999996</v>
      </c>
      <c r="C22" s="22">
        <f>33.3525+13.0075+16.959</f>
        <v>63.319</v>
      </c>
      <c r="D22" s="22">
        <f>14.7795+8.3258+10.8547</f>
        <v>33.96</v>
      </c>
      <c r="E22" s="22"/>
      <c r="F22" s="22">
        <v>10.036</v>
      </c>
      <c r="G22" s="22">
        <f>3.8216+4.9834</f>
        <v>8.805</v>
      </c>
      <c r="H22" s="22"/>
      <c r="I22" s="22">
        <f>6.3753+6.3537</f>
        <v>12.729</v>
      </c>
      <c r="J22" s="22">
        <f>6.5183+6.4967</f>
        <v>13.015</v>
      </c>
      <c r="K22" s="22">
        <f>5.5535+5.5345</f>
        <v>11.088000000000001</v>
      </c>
      <c r="L22" s="22">
        <f>5.2685+6.8695</f>
        <v>12.138000000000002</v>
      </c>
      <c r="M22" s="22">
        <f>29.5883+14.8364+19.3453</f>
        <v>63.77</v>
      </c>
      <c r="N22" s="22">
        <v>9.129</v>
      </c>
      <c r="O22" s="22">
        <v>8.945</v>
      </c>
      <c r="P22" s="23">
        <f>8.2361+10.7023+8.2086</f>
        <v>27.147000000000002</v>
      </c>
    </row>
    <row r="23" spans="1:16" ht="15.75">
      <c r="A23" s="105" t="s">
        <v>230</v>
      </c>
      <c r="B23" s="22">
        <f>33.2635+12.9728+16.9147</f>
        <v>63.150999999999996</v>
      </c>
      <c r="C23" s="22">
        <f>35.1725+13.7173+17.8842</f>
        <v>66.774</v>
      </c>
      <c r="D23" s="22">
        <f>15.5859+8.7801+11.448</f>
        <v>35.814</v>
      </c>
      <c r="E23" s="22"/>
      <c r="F23" s="22">
        <v>10.583</v>
      </c>
      <c r="G23" s="22">
        <f>4.0301+5.2549</f>
        <v>9.285</v>
      </c>
      <c r="H23" s="22"/>
      <c r="I23" s="22">
        <f>6.7232+6.7008</f>
        <v>13.424</v>
      </c>
      <c r="J23" s="22">
        <f>6.8739+6.8511</f>
        <v>13.725</v>
      </c>
      <c r="K23" s="22">
        <f>5.8565+5.8365</f>
        <v>11.693</v>
      </c>
      <c r="L23" s="22">
        <f>5.5559+7.2451</f>
        <v>12.801</v>
      </c>
      <c r="M23" s="22">
        <f>31.2029+15.646+20.4011</f>
        <v>67.25</v>
      </c>
      <c r="N23" s="22">
        <v>9.626</v>
      </c>
      <c r="O23" s="22">
        <v>9.434</v>
      </c>
      <c r="P23" s="23">
        <f>8.6855+11.286+8.6565</f>
        <v>28.628</v>
      </c>
    </row>
    <row r="24" spans="1:16" ht="15.75">
      <c r="A24" s="105" t="s">
        <v>231</v>
      </c>
      <c r="B24" s="22">
        <f>35.1125+13.6939+17.8546</f>
        <v>66.661</v>
      </c>
      <c r="C24" s="22">
        <f>37.1275+14.4797+18.8788</f>
        <v>70.48599999999999</v>
      </c>
      <c r="D24" s="22">
        <f>16.4523+9.2681+12.0836</f>
        <v>37.804</v>
      </c>
      <c r="E24" s="22"/>
      <c r="F24" s="22">
        <v>11.172</v>
      </c>
      <c r="G24" s="22">
        <f>4.2542+5.5468</f>
        <v>9.801</v>
      </c>
      <c r="H24" s="22"/>
      <c r="I24" s="22">
        <f>7.097+7.073</f>
        <v>14.170000000000002</v>
      </c>
      <c r="J24" s="22">
        <f>7.2556+7.2314</f>
        <v>14.487</v>
      </c>
      <c r="K24" s="22">
        <f>6.1814+6.1616</f>
        <v>12.343</v>
      </c>
      <c r="L24" s="22">
        <f>5.8648+7.6472</f>
        <v>13.512</v>
      </c>
      <c r="M24" s="22">
        <f>32.9374+16.5158+21.5338</f>
        <v>70.987</v>
      </c>
      <c r="N24" s="22">
        <v>10.162</v>
      </c>
      <c r="O24" s="22">
        <v>9.957</v>
      </c>
      <c r="P24" s="23">
        <f>9.1681+11.9143+9.1376</f>
        <v>30.22</v>
      </c>
    </row>
    <row r="25" spans="1:16" ht="15.75">
      <c r="A25" s="105" t="s">
        <v>233</v>
      </c>
      <c r="B25" s="22">
        <f>33.057+12.8922+16.8098</f>
        <v>62.759</v>
      </c>
      <c r="C25" s="22">
        <f>34.954+13.6321+17.7739</f>
        <v>66.36</v>
      </c>
      <c r="D25" s="22">
        <f>15.489+8.7255+11.3775</f>
        <v>35.592</v>
      </c>
      <c r="E25" s="22"/>
      <c r="F25" s="22">
        <v>10.517</v>
      </c>
      <c r="G25" s="22">
        <f>4.0052+5.2218</f>
        <v>9.227</v>
      </c>
      <c r="H25" s="22"/>
      <c r="I25" s="22">
        <f>6.6815+6.6595</f>
        <v>13.341000000000001</v>
      </c>
      <c r="J25" s="22">
        <f>6.8308+6.8092</f>
        <v>13.64</v>
      </c>
      <c r="K25" s="22">
        <f>5.8194+5.8016</f>
        <v>11.620999999999999</v>
      </c>
      <c r="L25" s="22">
        <f>5.5215+7.1995</f>
        <v>12.721</v>
      </c>
      <c r="M25" s="22">
        <f>31.0092+15.5489+20.2739</f>
        <v>66.832</v>
      </c>
      <c r="N25" s="22">
        <v>9.657</v>
      </c>
      <c r="O25" s="22">
        <v>9.335</v>
      </c>
      <c r="P25" s="23">
        <f>6.9059+6.8831+8.6027</f>
        <v>22.3917</v>
      </c>
    </row>
    <row r="26" spans="1:16" ht="15.75">
      <c r="A26" s="105" t="s">
        <v>234</v>
      </c>
      <c r="B26" s="22">
        <f>34.5225+13.4638+17.5547</f>
        <v>65.541</v>
      </c>
      <c r="C26" s="22">
        <f>36.5035+14.2364+18.5621</f>
        <v>69.302</v>
      </c>
      <c r="D26" s="22">
        <f>16.1757+9.1123+11.882</f>
        <v>37.169999999999995</v>
      </c>
      <c r="E26" s="22"/>
      <c r="F26" s="22">
        <v>10.984</v>
      </c>
      <c r="G26" s="22">
        <f>4.1828+5.4532</f>
        <v>9.636</v>
      </c>
      <c r="H26" s="22"/>
      <c r="I26" s="22">
        <f>6.9777+6.9543</f>
        <v>13.931999999999999</v>
      </c>
      <c r="J26" s="22">
        <f>7.1342+7.1108</f>
        <v>14.245000000000001</v>
      </c>
      <c r="K26" s="22">
        <f>6.0782+6.0578</f>
        <v>12.136</v>
      </c>
      <c r="L26" s="22">
        <f>5.7663+7.5187</f>
        <v>13.285</v>
      </c>
      <c r="M26" s="22">
        <f>32.3841+16.2383+21.1726</f>
        <v>69.795</v>
      </c>
      <c r="N26" s="22">
        <v>9.991</v>
      </c>
      <c r="O26" s="22">
        <v>9.79</v>
      </c>
      <c r="P26" s="24">
        <f>9.0142+8.9841+11.7137</f>
        <v>29.712</v>
      </c>
    </row>
    <row r="27" spans="1:16" ht="15.75">
      <c r="A27" s="105" t="s">
        <v>235</v>
      </c>
      <c r="B27" s="22">
        <f>37.007+14.4327+18.8183</f>
        <v>70.25800000000001</v>
      </c>
      <c r="C27" s="22">
        <f>39.131+15.2611+19.8969</f>
        <v>74.289</v>
      </c>
      <c r="D27" s="22">
        <f>17.34+9.7682+12.7358</f>
        <v>39.844</v>
      </c>
      <c r="E27" s="22"/>
      <c r="F27" s="22">
        <v>11.775</v>
      </c>
      <c r="G27" s="22">
        <f>4.4837+5.8463</f>
        <v>10.33</v>
      </c>
      <c r="H27" s="22"/>
      <c r="I27" s="22">
        <f>7.4799+7.4541</f>
        <v>14.934000000000001</v>
      </c>
      <c r="J27" s="22">
        <f>7.6476+7.6224</f>
        <v>15.27</v>
      </c>
      <c r="K27" s="22">
        <f>6.5156+6.4934</f>
        <v>13.009</v>
      </c>
      <c r="L27" s="22">
        <f>6.1812+8.0598</f>
        <v>14.241</v>
      </c>
      <c r="M27" s="22">
        <f>34.7148+17.407+22.6962</f>
        <v>74.818</v>
      </c>
      <c r="N27" s="22">
        <v>10.71</v>
      </c>
      <c r="O27" s="22">
        <v>10.495</v>
      </c>
      <c r="P27" s="24">
        <f>9.6629+9.6306+12.5575</f>
        <v>31.851</v>
      </c>
    </row>
    <row r="28" spans="1:16" ht="15.75">
      <c r="A28" s="105" t="s">
        <v>236</v>
      </c>
      <c r="B28" s="22">
        <f>38.625+15.0638+19.6412</f>
        <v>73.33</v>
      </c>
      <c r="C28" s="22">
        <f>40.8415+15.9282+20.7683</f>
        <v>77.538</v>
      </c>
      <c r="D28" s="22">
        <f>18.0981+10.1953+13.2926</f>
        <v>41.586</v>
      </c>
      <c r="E28" s="22"/>
      <c r="F28" s="22">
        <v>12.29</v>
      </c>
      <c r="G28" s="22">
        <f>4.6797+6.1023</f>
        <v>10.782</v>
      </c>
      <c r="H28" s="22"/>
      <c r="I28" s="22">
        <f>7.8069+7.7811</f>
        <v>15.588000000000001</v>
      </c>
      <c r="J28" s="22">
        <f>7.982+7.955</f>
        <v>15.937000000000001</v>
      </c>
      <c r="K28" s="22">
        <f>6.8004+6.7776</f>
        <v>13.578</v>
      </c>
      <c r="L28" s="22">
        <f>6.4515+8.4125</f>
        <v>14.864</v>
      </c>
      <c r="M28" s="22">
        <f>36.2324+18.1679+23.6887</f>
        <v>78.089</v>
      </c>
      <c r="N28" s="22">
        <v>11.178</v>
      </c>
      <c r="O28" s="22">
        <v>10.953</v>
      </c>
      <c r="P28" s="24">
        <f>10.0854+10.0518+13.1058</f>
        <v>33.243</v>
      </c>
    </row>
    <row r="29" spans="1:16" ht="15.75">
      <c r="A29" s="105" t="s">
        <v>237</v>
      </c>
      <c r="B29" s="22">
        <f>42.586+16.6085+21.6555</f>
        <v>80.85</v>
      </c>
      <c r="C29" s="22">
        <f>45.03+17.5617+22.8973</f>
        <v>85.489</v>
      </c>
      <c r="D29" s="22">
        <f>19.9539+11.2407+14.6574</f>
        <v>45.852000000000004</v>
      </c>
      <c r="E29" s="22"/>
      <c r="F29" s="22">
        <v>13.55</v>
      </c>
      <c r="G29" s="22">
        <f>5.1597+6.7273</f>
        <v>11.887</v>
      </c>
      <c r="H29" s="22"/>
      <c r="I29" s="22">
        <f>8.6075+8.5785</f>
        <v>17.186</v>
      </c>
      <c r="J29" s="22">
        <f>8.8005+8.7715</f>
        <v>17.572</v>
      </c>
      <c r="K29" s="22">
        <f>7.4978+7.4732</f>
        <v>14.971</v>
      </c>
      <c r="L29" s="22">
        <f>7.1132+9.2738</f>
        <v>16.387</v>
      </c>
      <c r="M29" s="22">
        <f>39.948+20.031+26.118</f>
        <v>86.097</v>
      </c>
      <c r="N29" s="22">
        <v>12.325</v>
      </c>
      <c r="O29" s="22">
        <v>12.077</v>
      </c>
      <c r="P29" s="24">
        <f>11.1197+11.0826+14.4497</f>
        <v>36.652</v>
      </c>
    </row>
    <row r="30" spans="1:16" ht="15.75">
      <c r="A30" s="105" t="s">
        <v>239</v>
      </c>
      <c r="B30" s="22">
        <f>40.621+15.8422+20.6548</f>
        <v>77.118</v>
      </c>
      <c r="C30" s="22">
        <f>42.9515+16.7511+21.8414</f>
        <v>81.54400000000001</v>
      </c>
      <c r="D30" s="22">
        <f>19.3194+10.8833+14.1893</f>
        <v>44.391999999999996</v>
      </c>
      <c r="E30" s="22"/>
      <c r="F30" s="22">
        <v>12.925</v>
      </c>
      <c r="G30" s="22">
        <f>4.9215+6.4175</f>
        <v>11.339</v>
      </c>
      <c r="H30" s="22"/>
      <c r="I30" s="22">
        <f>8.2102+8.1828</f>
        <v>16.393</v>
      </c>
      <c r="J30" s="22">
        <f>8.3943+8.3667</f>
        <v>16.761</v>
      </c>
      <c r="K30" s="22">
        <f>7.1517+7.1283</f>
        <v>14.280000000000001</v>
      </c>
      <c r="L30" s="22">
        <f>7.1668+9.3452</f>
        <v>16.512</v>
      </c>
      <c r="M30" s="22">
        <f>38.1045+19.1067+24.9118</f>
        <v>82.123</v>
      </c>
      <c r="N30" s="22">
        <v>11.756</v>
      </c>
      <c r="O30" s="22">
        <v>11.52</v>
      </c>
      <c r="P30" s="24">
        <f>10.6065+10.5711+13.7824</f>
        <v>34.96</v>
      </c>
    </row>
    <row r="31" spans="1:16" ht="15.75">
      <c r="A31" s="105" t="s">
        <v>240</v>
      </c>
      <c r="B31" s="22">
        <f>42.7705+16.6805+21.749</f>
        <v>81.19999999999999</v>
      </c>
      <c r="C31" s="22">
        <f>45.225+17.6378+22.9962</f>
        <v>85.85900000000001</v>
      </c>
      <c r="D31" s="22">
        <f>20.3418+11.4592+14.941</f>
        <v>46.742</v>
      </c>
      <c r="E31" s="22"/>
      <c r="F31" s="22">
        <v>13.608</v>
      </c>
      <c r="G31" s="22">
        <f>5.1821+6.7559</f>
        <v>11.937999999999999</v>
      </c>
      <c r="H31" s="22"/>
      <c r="I31" s="22">
        <f>8.6447+8.6163</f>
        <v>17.261000000000003</v>
      </c>
      <c r="J31" s="22">
        <f>8.8386+8.8094</f>
        <v>17.648</v>
      </c>
      <c r="K31" s="22">
        <f>7.5303+7.5047</f>
        <v>15.035</v>
      </c>
      <c r="L31" s="22">
        <f>7.5461+9.8389</f>
        <v>17.385</v>
      </c>
      <c r="M31" s="22">
        <f>40.1212+20.1179+26.2299</f>
        <v>86.469</v>
      </c>
      <c r="N31" s="22">
        <v>12.379</v>
      </c>
      <c r="O31" s="22">
        <v>12.13</v>
      </c>
      <c r="P31" s="24">
        <f>10.6065+10.5711+13.7824</f>
        <v>34.96</v>
      </c>
    </row>
    <row r="32" spans="1:16" ht="15.75">
      <c r="A32" s="105" t="s">
        <v>241</v>
      </c>
      <c r="B32" s="22">
        <f>44.925+17.5208+22.8442</f>
        <v>85.28999999999999</v>
      </c>
      <c r="C32" s="22">
        <f>47.503+18.5262+24.1548</f>
        <v>90.184</v>
      </c>
      <c r="D32" s="22">
        <f>21.3663+12.0363+15.6944</f>
        <v>49.097</v>
      </c>
      <c r="E32" s="22"/>
      <c r="F32" s="22">
        <v>14.293</v>
      </c>
      <c r="G32" s="22">
        <f>5.4431+7.0969</f>
        <v>12.54</v>
      </c>
      <c r="H32" s="22"/>
      <c r="I32" s="22">
        <f>9.0801+9.0499</f>
        <v>18.13</v>
      </c>
      <c r="J32" s="22">
        <f>9.2838+9.2532</f>
        <v>18.537</v>
      </c>
      <c r="K32" s="22">
        <f>7.9097+7.8833</f>
        <v>15.793</v>
      </c>
      <c r="L32" s="22">
        <f>7.9262+10.3348</f>
        <v>18.261</v>
      </c>
      <c r="M32" s="22">
        <f>42.1421+21.1313+27.5516</f>
        <v>90.82499999999999</v>
      </c>
      <c r="N32" s="22">
        <v>13.002</v>
      </c>
      <c r="O32" s="22">
        <v>12.74</v>
      </c>
      <c r="P32" s="24">
        <f>11.7303+11.6912+15.2435</f>
        <v>38.665</v>
      </c>
    </row>
    <row r="33" spans="1:16" ht="15.75">
      <c r="A33" s="105" t="s">
        <v>243</v>
      </c>
      <c r="B33" s="22">
        <f>41.844+18.4714+24.0836</f>
        <v>84.399</v>
      </c>
      <c r="C33" s="22">
        <f>44.245+19.5313+25.4667</f>
        <v>89.243</v>
      </c>
      <c r="D33" s="22">
        <f>19.901+12.9169+16.8421</f>
        <v>49.66</v>
      </c>
      <c r="E33" s="22"/>
      <c r="F33" s="22">
        <v>15.947</v>
      </c>
      <c r="G33" s="22">
        <f>6.0727+7.9183</f>
        <v>13.991</v>
      </c>
      <c r="H33" s="22"/>
      <c r="I33" s="22">
        <f>8.457+9.88</f>
        <v>18.337000000000003</v>
      </c>
      <c r="J33" s="22">
        <f>8.647+10.1</f>
        <v>18.747</v>
      </c>
      <c r="K33" s="22">
        <f>7.367+8.606</f>
        <v>15.972999999999999</v>
      </c>
      <c r="L33" s="22">
        <f>8.8431+11.5299</f>
        <v>20.372999999999998</v>
      </c>
      <c r="M33" s="22">
        <f>39.252+22.5663+29.4227</f>
        <v>91.241</v>
      </c>
      <c r="N33" s="22">
        <v>14.505</v>
      </c>
      <c r="O33" s="22">
        <v>14.214</v>
      </c>
      <c r="P33" s="24">
        <f>10.926+12.7628+16.6402</f>
        <v>40.329</v>
      </c>
    </row>
    <row r="34" spans="1:16" ht="15.75">
      <c r="A34" s="105" t="s">
        <v>244</v>
      </c>
      <c r="B34" s="22">
        <f>41.844+17.8342+23.2528</f>
        <v>82.93100000000001</v>
      </c>
      <c r="C34" s="22">
        <f>44.245+18.8575+24.5875</f>
        <v>87.69</v>
      </c>
      <c r="D34" s="22">
        <f>19.901+12.4119+16.1831</f>
        <v>48.495999999999995</v>
      </c>
      <c r="E34" s="22"/>
      <c r="F34" s="22">
        <v>15.168</v>
      </c>
      <c r="G34" s="22">
        <f>5.7758+7.5312</f>
        <v>13.307</v>
      </c>
      <c r="H34" s="22"/>
      <c r="I34" s="22">
        <f>8.457+9.45</f>
        <v>17.907</v>
      </c>
      <c r="J34" s="22">
        <f>8.647+9.662</f>
        <v>18.309</v>
      </c>
      <c r="K34" s="22">
        <f>7.367+8.231</f>
        <v>15.597999999999999</v>
      </c>
      <c r="L34" s="22">
        <f>8.4107+10.9563</f>
        <v>19.367</v>
      </c>
      <c r="M34" s="22">
        <f>39.25+21.7123+28.3087</f>
        <v>89.271</v>
      </c>
      <c r="N34" s="22">
        <v>13.797</v>
      </c>
      <c r="O34" s="22">
        <v>13.519</v>
      </c>
      <c r="P34" s="24">
        <f>10.926+12.208+15.918</f>
        <v>39.052</v>
      </c>
    </row>
    <row r="35" spans="1:16" ht="15.75">
      <c r="A35" s="105" t="s">
        <v>245</v>
      </c>
      <c r="B35" s="22">
        <f>41.844+16.8108+21.9182</f>
        <v>80.57300000000001</v>
      </c>
      <c r="C35" s="22">
        <f>44.245+17.7754+23.1766</f>
        <v>85.197</v>
      </c>
      <c r="D35" s="22">
        <f>19.901+11.6007+15.1253</f>
        <v>46.626999999999995</v>
      </c>
      <c r="E35" s="22"/>
      <c r="F35" s="22">
        <v>13.916</v>
      </c>
      <c r="G35" s="22">
        <f>5.2989+6.9091</f>
        <v>12.207999999999998</v>
      </c>
      <c r="H35" s="22"/>
      <c r="I35" s="22">
        <f>8.457+8.761</f>
        <v>17.218</v>
      </c>
      <c r="J35" s="22">
        <f>8.647+8.956</f>
        <v>17.603</v>
      </c>
      <c r="K35" s="22">
        <f>7.367+7.631</f>
        <v>14.998000000000001</v>
      </c>
      <c r="L35" s="22">
        <f>7.7163+10.0607</f>
        <v>17.777</v>
      </c>
      <c r="M35" s="22">
        <f>39.252+20.341+26.512</f>
        <v>86.105</v>
      </c>
      <c r="N35" s="22">
        <v>12.657</v>
      </c>
      <c r="O35" s="22">
        <v>12.402</v>
      </c>
      <c r="P35" s="24">
        <f>10.926+11.3174+14.7556</f>
        <v>36.999</v>
      </c>
    </row>
    <row r="36" spans="1:16" ht="15.75">
      <c r="A36" s="105" t="s">
        <v>246</v>
      </c>
      <c r="B36" s="22">
        <f>41.844+18.219+23.754</f>
        <v>83.81700000000001</v>
      </c>
      <c r="C36" s="22">
        <f>44.245+19.2644+25.1176</f>
        <v>88.627</v>
      </c>
      <c r="D36" s="22">
        <f>19.901+12.7169+16.5811</f>
        <v>49.199</v>
      </c>
      <c r="E36" s="22"/>
      <c r="F36" s="22">
        <v>15.638</v>
      </c>
      <c r="G36" s="22">
        <f>5.9552+7.7638</f>
        <v>13.719</v>
      </c>
      <c r="H36" s="22"/>
      <c r="I36" s="22">
        <f>8.457+9.709</f>
        <v>18.166</v>
      </c>
      <c r="J36" s="22">
        <f>8.647+9.927</f>
        <v>18.573999999999998</v>
      </c>
      <c r="K36" s="22">
        <f>7.367+8.458</f>
        <v>15.825</v>
      </c>
      <c r="L36" s="22">
        <f>8.6718+11.3072</f>
        <v>19.979</v>
      </c>
      <c r="M36" s="22">
        <f>39.252+22.2281+28.9809</f>
        <v>90.46100000000001</v>
      </c>
      <c r="N36" s="22">
        <v>14.225</v>
      </c>
      <c r="O36" s="22">
        <v>13.938</v>
      </c>
      <c r="P36" s="24">
        <f>10.926+12.5431+16.3539</f>
        <v>39.823</v>
      </c>
    </row>
    <row r="37" spans="1:16" ht="15.75">
      <c r="A37" s="105" t="s">
        <v>247</v>
      </c>
      <c r="B37" s="22">
        <f>41.844+17.5981+22.9459</f>
        <v>82.388</v>
      </c>
      <c r="C37" s="22">
        <f>44.245+18.605+24.259</f>
        <v>87.109</v>
      </c>
      <c r="D37" s="22">
        <f>19.901+12.2356+15.9534</f>
        <v>48.09</v>
      </c>
      <c r="E37" s="22"/>
      <c r="F37" s="22">
        <v>14.875</v>
      </c>
      <c r="G37" s="22">
        <f>5.6936+7.4244</f>
        <v>13.118</v>
      </c>
      <c r="H37" s="22"/>
      <c r="I37" s="22">
        <f>8.457+9.307</f>
        <v>17.764000000000003</v>
      </c>
      <c r="J37" s="22">
        <f>8.647+9.516</f>
        <v>18.163</v>
      </c>
      <c r="K37" s="22">
        <f>7.367+8.115</f>
        <v>15.482</v>
      </c>
      <c r="L37" s="22">
        <f>8.2674+10.7786</f>
        <v>19.046</v>
      </c>
      <c r="M37" s="22">
        <f>39.252+21.3797+27.8733</f>
        <v>88.505</v>
      </c>
      <c r="N37" s="22">
        <v>13.528</v>
      </c>
      <c r="O37" s="22">
        <v>13.257</v>
      </c>
      <c r="P37" s="24">
        <f>10.926+12.0094+15.6586</f>
        <v>38.594</v>
      </c>
    </row>
    <row r="38" spans="1:16" ht="15.75">
      <c r="A38" s="105" t="s">
        <v>248</v>
      </c>
      <c r="B38" s="22">
        <f>43.3855+16.9203+22.0622</f>
        <v>82.36800000000001</v>
      </c>
      <c r="C38" s="22">
        <f>45.7875+17.8571+23.2824</f>
        <v>86.92699999999999</v>
      </c>
      <c r="D38" s="22">
        <f>20.8254+11.7316+15.297</f>
        <v>47.854</v>
      </c>
      <c r="E38" s="22"/>
      <c r="F38" s="22">
        <v>13.766</v>
      </c>
      <c r="G38" s="22">
        <f>5.4699+7.1311</f>
        <v>12.600999999999999</v>
      </c>
      <c r="H38" s="22"/>
      <c r="I38" s="22">
        <f>8.9193+8.8897</f>
        <v>17.808999999999997</v>
      </c>
      <c r="J38" s="22">
        <f>9.1091+9.0789</f>
        <v>18.188000000000002</v>
      </c>
      <c r="K38" s="22">
        <f>7.829+7.803</f>
        <v>15.632</v>
      </c>
      <c r="L38" s="22">
        <f>7.783+10.148</f>
        <v>17.931</v>
      </c>
      <c r="M38" s="22">
        <f>40.3326+20.2239+26.3695</f>
        <v>86.926</v>
      </c>
      <c r="N38" s="22">
        <v>12.511</v>
      </c>
      <c r="O38" s="22">
        <v>12.268</v>
      </c>
      <c r="P38" s="24">
        <f>11.3882+11.3502+14.7986</f>
        <v>37.537</v>
      </c>
    </row>
    <row r="39" spans="1:16" ht="15.75">
      <c r="A39" s="105" t="s">
        <v>250</v>
      </c>
      <c r="B39" s="22">
        <f>41.844+17.4977+22.8143</f>
        <v>82.156</v>
      </c>
      <c r="C39" s="22">
        <f>44.245+18.4773+24.0917</f>
        <v>86.814</v>
      </c>
      <c r="D39" s="22">
        <f>19.901+12.2337+15.9503</f>
        <v>48.085</v>
      </c>
      <c r="E39" s="22"/>
      <c r="F39" s="22">
        <v>14.726</v>
      </c>
      <c r="G39" s="22">
        <f>5.8469+7.6241</f>
        <v>13.471</v>
      </c>
      <c r="H39" s="22"/>
      <c r="I39" s="22">
        <f>8.457+9.362</f>
        <v>17.819000000000003</v>
      </c>
      <c r="J39" s="22">
        <f>8.647+9.563</f>
        <v>18.21</v>
      </c>
      <c r="K39" s="22">
        <f>7.367+8.211</f>
        <v>15.578</v>
      </c>
      <c r="L39" s="22">
        <f>8.3196+10.8474</f>
        <v>19.167</v>
      </c>
      <c r="M39" s="22">
        <f>39.252+21.1163+27.5327</f>
        <v>87.90100000000001</v>
      </c>
      <c r="N39" s="22">
        <v>13.374</v>
      </c>
      <c r="O39" s="22">
        <v>13.113</v>
      </c>
      <c r="P39" s="24">
        <f>10.926+11.9705+15.6085</f>
        <v>38.504999999999995</v>
      </c>
    </row>
    <row r="40" spans="1:16" ht="15.75">
      <c r="A40" s="105" t="s">
        <v>251</v>
      </c>
      <c r="B40" s="22">
        <f>44.08+17.5253+22.8497</f>
        <v>84.455</v>
      </c>
      <c r="C40" s="22">
        <f>46.474+18.477+24.091</f>
        <v>89.042</v>
      </c>
      <c r="D40" s="22">
        <f>21.325+12.2824+16.0146</f>
        <v>49.622</v>
      </c>
      <c r="E40" s="22"/>
      <c r="F40" s="22">
        <v>14.387</v>
      </c>
      <c r="G40" s="22">
        <f>5.8286+7.6514</f>
        <v>13.48</v>
      </c>
      <c r="H40" s="22"/>
      <c r="I40" s="22">
        <f>9.161+9.361</f>
        <v>18.522</v>
      </c>
      <c r="J40" s="22">
        <f>9.376+9.581</f>
        <v>18.957</v>
      </c>
      <c r="K40" s="22">
        <f>8.078+8.255</f>
        <v>16.333</v>
      </c>
      <c r="L40" s="22">
        <f>8.2265+10.7255</f>
        <v>18.951999999999998</v>
      </c>
      <c r="M40" s="22">
        <f>40.683+20.8402+27.1728</f>
        <v>88.696</v>
      </c>
      <c r="N40" s="22">
        <v>13.037</v>
      </c>
      <c r="O40" s="22">
        <v>12.788</v>
      </c>
      <c r="P40" s="24">
        <f>11.617+11.8715+15.4785</f>
        <v>38.967</v>
      </c>
    </row>
    <row r="41" spans="1:16" ht="15.75">
      <c r="A41" s="105" t="s">
        <v>277</v>
      </c>
      <c r="B41" s="22">
        <v>80</v>
      </c>
      <c r="C41" s="22">
        <v>83.25</v>
      </c>
      <c r="D41" s="22">
        <v>47</v>
      </c>
      <c r="E41" s="22"/>
      <c r="F41" s="22">
        <v>23</v>
      </c>
      <c r="G41" s="22">
        <v>8</v>
      </c>
      <c r="H41" s="22"/>
      <c r="I41" s="22">
        <v>15</v>
      </c>
      <c r="J41" s="22">
        <v>16</v>
      </c>
      <c r="K41" s="22">
        <v>12</v>
      </c>
      <c r="L41" s="22">
        <v>16</v>
      </c>
      <c r="M41" s="22">
        <v>80</v>
      </c>
      <c r="N41" s="22">
        <v>11</v>
      </c>
      <c r="O41" s="22">
        <v>11</v>
      </c>
      <c r="P41" s="24">
        <f>48</f>
        <v>48</v>
      </c>
    </row>
    <row r="42" spans="1:16" ht="15.75">
      <c r="A42" s="105" t="s">
        <v>118</v>
      </c>
      <c r="B42" s="22">
        <v>86.5</v>
      </c>
      <c r="C42" s="22">
        <v>89.75</v>
      </c>
      <c r="D42" s="22">
        <v>50.75</v>
      </c>
      <c r="E42" s="22"/>
      <c r="F42" s="22">
        <v>24.75</v>
      </c>
      <c r="G42" s="22">
        <v>8.75</v>
      </c>
      <c r="H42" s="22"/>
      <c r="I42" s="22">
        <v>16.25</v>
      </c>
      <c r="J42" s="22">
        <v>17.25</v>
      </c>
      <c r="K42" s="22">
        <v>13</v>
      </c>
      <c r="L42" s="22">
        <v>17.25</v>
      </c>
      <c r="M42" s="22">
        <v>86.25</v>
      </c>
      <c r="N42" s="22">
        <v>11.75</v>
      </c>
      <c r="O42" s="22">
        <v>11.75</v>
      </c>
      <c r="P42" s="24">
        <v>51.75</v>
      </c>
    </row>
    <row r="43" spans="1:16" ht="15.75">
      <c r="A43" s="106" t="s">
        <v>119</v>
      </c>
      <c r="B43" s="22">
        <v>88.25</v>
      </c>
      <c r="C43" s="22">
        <v>91.5</v>
      </c>
      <c r="D43" s="22">
        <v>51.75</v>
      </c>
      <c r="E43" s="22"/>
      <c r="F43" s="22">
        <v>25.25</v>
      </c>
      <c r="G43" s="22">
        <v>9</v>
      </c>
      <c r="H43" s="22"/>
      <c r="I43" s="22">
        <v>16.5</v>
      </c>
      <c r="J43" s="22">
        <v>17.5</v>
      </c>
      <c r="K43" s="22">
        <v>13.25</v>
      </c>
      <c r="L43" s="22">
        <v>17.5</v>
      </c>
      <c r="M43" s="22">
        <v>88</v>
      </c>
      <c r="N43" s="22">
        <v>12</v>
      </c>
      <c r="O43" s="22">
        <v>12</v>
      </c>
      <c r="P43" s="24">
        <v>52.75</v>
      </c>
    </row>
    <row r="44" spans="1:16" ht="15.75">
      <c r="A44" s="105" t="s">
        <v>120</v>
      </c>
      <c r="B44" s="22">
        <v>89.75</v>
      </c>
      <c r="C44" s="22">
        <v>93.25</v>
      </c>
      <c r="D44" s="22">
        <v>52.75</v>
      </c>
      <c r="E44" s="22"/>
      <c r="F44" s="22">
        <v>25.75</v>
      </c>
      <c r="G44" s="22">
        <v>9.25</v>
      </c>
      <c r="H44" s="22"/>
      <c r="I44" s="22">
        <v>16.75</v>
      </c>
      <c r="J44" s="22">
        <v>17.75</v>
      </c>
      <c r="K44" s="22">
        <v>13.5</v>
      </c>
      <c r="L44" s="22">
        <v>17.75</v>
      </c>
      <c r="M44" s="22">
        <v>89.75</v>
      </c>
      <c r="N44" s="22">
        <v>12.25</v>
      </c>
      <c r="O44" s="22">
        <v>12.25</v>
      </c>
      <c r="P44" s="24">
        <v>53.75</v>
      </c>
    </row>
    <row r="45" spans="1:16" ht="15.75">
      <c r="A45" s="105" t="s">
        <v>121</v>
      </c>
      <c r="B45" s="22">
        <v>91.75</v>
      </c>
      <c r="C45" s="22">
        <v>95.5</v>
      </c>
      <c r="D45" s="22">
        <v>54</v>
      </c>
      <c r="E45" s="22"/>
      <c r="F45" s="22">
        <v>26.25</v>
      </c>
      <c r="G45" s="22">
        <v>9.5</v>
      </c>
      <c r="H45" s="22"/>
      <c r="I45" s="22">
        <v>17.25</v>
      </c>
      <c r="J45" s="22">
        <v>18.25</v>
      </c>
      <c r="K45" s="22">
        <v>13.75</v>
      </c>
      <c r="L45" s="22">
        <v>18.25</v>
      </c>
      <c r="M45" s="22">
        <v>91.75</v>
      </c>
      <c r="N45" s="22">
        <v>12.5</v>
      </c>
      <c r="O45" s="22">
        <v>12.5</v>
      </c>
      <c r="P45" s="24">
        <v>55</v>
      </c>
    </row>
    <row r="46" spans="1:16" ht="15.75">
      <c r="A46" s="105" t="s">
        <v>122</v>
      </c>
      <c r="B46" s="22">
        <v>93</v>
      </c>
      <c r="C46" s="22">
        <v>97</v>
      </c>
      <c r="D46" s="22">
        <v>54.75</v>
      </c>
      <c r="E46" s="22"/>
      <c r="F46" s="22">
        <v>26.75</v>
      </c>
      <c r="G46" s="22">
        <v>9.75</v>
      </c>
      <c r="H46" s="22"/>
      <c r="I46" s="22">
        <v>17.5</v>
      </c>
      <c r="J46" s="22">
        <v>18.5</v>
      </c>
      <c r="K46" s="22">
        <v>14</v>
      </c>
      <c r="L46" s="22">
        <v>18.5</v>
      </c>
      <c r="M46" s="22">
        <v>93</v>
      </c>
      <c r="N46" s="22">
        <v>12.75</v>
      </c>
      <c r="O46" s="22">
        <v>12.75</v>
      </c>
      <c r="P46" s="24">
        <v>55.75</v>
      </c>
    </row>
    <row r="47" spans="1:16" ht="15.75">
      <c r="A47" s="105" t="s">
        <v>278</v>
      </c>
      <c r="B47" s="22">
        <v>95.75</v>
      </c>
      <c r="C47" s="22">
        <v>100</v>
      </c>
      <c r="D47" s="22">
        <v>56.5</v>
      </c>
      <c r="E47" s="22"/>
      <c r="F47" s="22">
        <v>27.5</v>
      </c>
      <c r="G47" s="25">
        <v>10</v>
      </c>
      <c r="H47" s="25"/>
      <c r="I47" s="22">
        <v>18</v>
      </c>
      <c r="J47" s="22">
        <v>19</v>
      </c>
      <c r="K47" s="22">
        <v>14.5</v>
      </c>
      <c r="L47" s="22">
        <v>19</v>
      </c>
      <c r="M47" s="22">
        <v>95.75</v>
      </c>
      <c r="N47" s="22">
        <v>13.25</v>
      </c>
      <c r="O47" s="22">
        <v>13.25</v>
      </c>
      <c r="P47" s="24">
        <v>57.5</v>
      </c>
    </row>
    <row r="48" spans="1:16" ht="15.75">
      <c r="A48" s="105" t="s">
        <v>123</v>
      </c>
      <c r="B48" s="26">
        <v>98</v>
      </c>
      <c r="C48" s="26">
        <v>102.5</v>
      </c>
      <c r="D48" s="26">
        <v>58</v>
      </c>
      <c r="E48" s="26"/>
      <c r="F48" s="26">
        <v>28.25</v>
      </c>
      <c r="G48" s="26">
        <v>10.25</v>
      </c>
      <c r="H48" s="26"/>
      <c r="I48" s="26">
        <v>18.5</v>
      </c>
      <c r="J48" s="26">
        <v>19.5</v>
      </c>
      <c r="K48" s="26">
        <v>14.75</v>
      </c>
      <c r="L48" s="26">
        <v>19.5</v>
      </c>
      <c r="M48" s="26">
        <v>98</v>
      </c>
      <c r="N48" s="26">
        <v>13.5</v>
      </c>
      <c r="O48" s="26">
        <v>13.5</v>
      </c>
      <c r="P48" s="26">
        <v>59</v>
      </c>
    </row>
    <row r="49" spans="1:16" ht="15.75">
      <c r="A49" s="105" t="s">
        <v>124</v>
      </c>
      <c r="B49" s="26">
        <v>100</v>
      </c>
      <c r="C49" s="26">
        <v>104.75</v>
      </c>
      <c r="D49" s="26">
        <v>59.25</v>
      </c>
      <c r="E49" s="26"/>
      <c r="F49" s="26">
        <v>28.75</v>
      </c>
      <c r="G49" s="26">
        <v>10.5</v>
      </c>
      <c r="H49" s="26"/>
      <c r="I49" s="26">
        <v>19</v>
      </c>
      <c r="J49" s="26">
        <v>20</v>
      </c>
      <c r="K49" s="26">
        <v>15</v>
      </c>
      <c r="L49" s="26">
        <v>20</v>
      </c>
      <c r="M49" s="26">
        <v>100</v>
      </c>
      <c r="N49" s="26">
        <v>13.75</v>
      </c>
      <c r="O49" s="26">
        <v>13.75</v>
      </c>
      <c r="P49" s="26">
        <v>60.25</v>
      </c>
    </row>
    <row r="50" spans="1:16" ht="15.75">
      <c r="A50" s="105" t="s">
        <v>125</v>
      </c>
      <c r="B50" s="26">
        <v>102.25</v>
      </c>
      <c r="C50" s="26">
        <v>107</v>
      </c>
      <c r="D50" s="26">
        <v>60.5</v>
      </c>
      <c r="E50" s="26"/>
      <c r="F50" s="26">
        <v>29.25</v>
      </c>
      <c r="G50" s="26">
        <v>10.75</v>
      </c>
      <c r="H50" s="26"/>
      <c r="I50" s="26">
        <v>19.5</v>
      </c>
      <c r="J50" s="26">
        <v>20.5</v>
      </c>
      <c r="K50" s="26">
        <v>15.25</v>
      </c>
      <c r="L50" s="26">
        <v>20.5</v>
      </c>
      <c r="M50" s="26">
        <v>102.25</v>
      </c>
      <c r="N50" s="26">
        <v>14</v>
      </c>
      <c r="O50" s="26">
        <v>14</v>
      </c>
      <c r="P50" s="26">
        <v>61.5</v>
      </c>
    </row>
    <row r="51" spans="1:16" ht="15.75">
      <c r="A51" s="105" t="s">
        <v>126</v>
      </c>
      <c r="B51" s="26">
        <v>103.75</v>
      </c>
      <c r="C51" s="26">
        <v>108.5</v>
      </c>
      <c r="D51" s="26">
        <v>61.25</v>
      </c>
      <c r="E51" s="26"/>
      <c r="F51" s="26">
        <v>29.75</v>
      </c>
      <c r="G51" s="26">
        <v>11</v>
      </c>
      <c r="H51" s="26"/>
      <c r="I51" s="26">
        <v>19.75</v>
      </c>
      <c r="J51" s="26">
        <v>20.75</v>
      </c>
      <c r="K51" s="26">
        <v>15.5</v>
      </c>
      <c r="L51" s="26">
        <v>20.75</v>
      </c>
      <c r="M51" s="26">
        <v>103.75</v>
      </c>
      <c r="N51" s="26">
        <v>14.25</v>
      </c>
      <c r="O51" s="26">
        <v>14.25</v>
      </c>
      <c r="P51" s="26">
        <v>62.25</v>
      </c>
    </row>
    <row r="52" spans="1:16" ht="15.75">
      <c r="A52" s="105" t="s">
        <v>127</v>
      </c>
      <c r="B52" s="26">
        <v>106.75</v>
      </c>
      <c r="C52" s="26">
        <v>111.75</v>
      </c>
      <c r="D52" s="26">
        <v>63</v>
      </c>
      <c r="E52" s="26"/>
      <c r="F52" s="26">
        <v>30.75</v>
      </c>
      <c r="G52" s="26">
        <v>11.25</v>
      </c>
      <c r="H52" s="26"/>
      <c r="I52" s="26">
        <v>20.25</v>
      </c>
      <c r="J52" s="26">
        <v>21.25</v>
      </c>
      <c r="K52" s="26">
        <v>16</v>
      </c>
      <c r="L52" s="26">
        <v>21.25</v>
      </c>
      <c r="M52" s="26">
        <v>106.75</v>
      </c>
      <c r="N52" s="26">
        <v>14.75</v>
      </c>
      <c r="O52" s="26">
        <v>14.75</v>
      </c>
      <c r="P52" s="26">
        <v>64</v>
      </c>
    </row>
    <row r="53" spans="1:16" ht="15.75">
      <c r="A53" s="105" t="s">
        <v>128</v>
      </c>
      <c r="B53" s="26">
        <v>110</v>
      </c>
      <c r="C53" s="26">
        <v>115</v>
      </c>
      <c r="D53" s="26">
        <v>65</v>
      </c>
      <c r="E53" s="26"/>
      <c r="F53" s="26">
        <v>31.75</v>
      </c>
      <c r="G53" s="26">
        <v>11.5</v>
      </c>
      <c r="H53" s="26"/>
      <c r="I53" s="26">
        <v>20.75</v>
      </c>
      <c r="J53" s="26">
        <v>22</v>
      </c>
      <c r="K53" s="26">
        <v>16.5</v>
      </c>
      <c r="L53" s="26">
        <v>22</v>
      </c>
      <c r="M53" s="26">
        <v>110</v>
      </c>
      <c r="N53" s="26">
        <v>15.25</v>
      </c>
      <c r="O53" s="26">
        <v>15.25</v>
      </c>
      <c r="P53" s="26">
        <v>66</v>
      </c>
    </row>
    <row r="54" spans="1:16" ht="15.75">
      <c r="A54" s="107" t="s">
        <v>29</v>
      </c>
      <c r="B54" s="26">
        <v>113</v>
      </c>
      <c r="C54" s="26">
        <v>118</v>
      </c>
      <c r="D54" s="26">
        <v>66.75</v>
      </c>
      <c r="E54" s="26"/>
      <c r="F54" s="26">
        <v>32.5</v>
      </c>
      <c r="G54" s="26">
        <v>11.75</v>
      </c>
      <c r="H54" s="26"/>
      <c r="I54" s="26">
        <v>21.25</v>
      </c>
      <c r="J54" s="26">
        <v>22.5</v>
      </c>
      <c r="K54" s="26">
        <v>17</v>
      </c>
      <c r="L54" s="26">
        <v>22.5</v>
      </c>
      <c r="M54" s="26">
        <v>113</v>
      </c>
      <c r="N54" s="26">
        <v>15.75</v>
      </c>
      <c r="O54" s="26">
        <v>15.75</v>
      </c>
      <c r="P54" s="26">
        <v>67.75</v>
      </c>
    </row>
    <row r="55" spans="1:16" ht="15.75">
      <c r="A55" s="105" t="s">
        <v>31</v>
      </c>
      <c r="B55" s="26">
        <v>116.5</v>
      </c>
      <c r="C55" s="26">
        <v>121.5</v>
      </c>
      <c r="D55" s="26">
        <v>68.75</v>
      </c>
      <c r="E55" s="26"/>
      <c r="F55" s="26">
        <v>33.5</v>
      </c>
      <c r="G55" s="26">
        <v>12</v>
      </c>
      <c r="H55" s="26"/>
      <c r="I55" s="26">
        <v>22</v>
      </c>
      <c r="J55" s="26">
        <v>23.25</v>
      </c>
      <c r="K55" s="26">
        <v>17.5</v>
      </c>
      <c r="L55" s="26">
        <v>23.25</v>
      </c>
      <c r="M55" s="26">
        <v>116.5</v>
      </c>
      <c r="N55" s="26">
        <v>16.25</v>
      </c>
      <c r="O55" s="26">
        <v>16.25</v>
      </c>
      <c r="P55" s="26">
        <v>69.75</v>
      </c>
    </row>
    <row r="56" spans="1:16" ht="15.75">
      <c r="A56" s="105" t="s">
        <v>129</v>
      </c>
      <c r="B56" s="26">
        <v>120</v>
      </c>
      <c r="C56" s="26">
        <v>125.25</v>
      </c>
      <c r="D56" s="26">
        <v>70.75</v>
      </c>
      <c r="E56" s="26"/>
      <c r="F56" s="26">
        <v>34.5</v>
      </c>
      <c r="G56" s="26">
        <v>12.25</v>
      </c>
      <c r="H56" s="26"/>
      <c r="I56" s="26">
        <v>22.75</v>
      </c>
      <c r="J56" s="26">
        <v>24</v>
      </c>
      <c r="K56" s="26">
        <v>18</v>
      </c>
      <c r="L56" s="26">
        <v>24</v>
      </c>
      <c r="M56" s="26">
        <v>120</v>
      </c>
      <c r="N56" s="26">
        <v>16.75</v>
      </c>
      <c r="O56" s="26">
        <v>16.75</v>
      </c>
      <c r="P56" s="26">
        <v>71.75</v>
      </c>
    </row>
    <row r="57" spans="1:16" ht="15.75">
      <c r="A57" s="105" t="s">
        <v>108</v>
      </c>
      <c r="B57" s="26">
        <v>125.25</v>
      </c>
      <c r="C57" s="26">
        <v>394.888</v>
      </c>
      <c r="D57" s="26">
        <v>70.75</v>
      </c>
      <c r="E57" s="26"/>
      <c r="F57" s="26">
        <v>34.5</v>
      </c>
      <c r="G57" s="26">
        <v>12.25</v>
      </c>
      <c r="H57" s="26"/>
      <c r="I57" s="26">
        <v>22.75</v>
      </c>
      <c r="J57" s="26">
        <v>24</v>
      </c>
      <c r="K57" s="26">
        <v>18</v>
      </c>
      <c r="L57" s="26">
        <v>24</v>
      </c>
      <c r="M57" s="26">
        <v>120</v>
      </c>
      <c r="N57" s="26">
        <v>16.75</v>
      </c>
      <c r="O57" s="26">
        <v>16.75</v>
      </c>
      <c r="P57" s="26">
        <v>275.352</v>
      </c>
    </row>
    <row r="58" spans="1:16" ht="15.75">
      <c r="A58" s="105" t="s">
        <v>34</v>
      </c>
      <c r="B58" s="26">
        <v>123.5</v>
      </c>
      <c r="C58" s="26">
        <v>129</v>
      </c>
      <c r="D58" s="26">
        <v>72.75</v>
      </c>
      <c r="E58" s="26"/>
      <c r="F58" s="26">
        <v>35.5</v>
      </c>
      <c r="G58" s="26">
        <v>12.5</v>
      </c>
      <c r="H58" s="26"/>
      <c r="I58" s="26">
        <v>23.5</v>
      </c>
      <c r="J58" s="26">
        <v>24.75</v>
      </c>
      <c r="K58" s="26">
        <v>18.5</v>
      </c>
      <c r="L58" s="26">
        <v>24.75</v>
      </c>
      <c r="M58" s="26">
        <v>123.5</v>
      </c>
      <c r="N58" s="26">
        <v>17.25</v>
      </c>
      <c r="O58" s="26">
        <v>17.25</v>
      </c>
      <c r="P58" s="26">
        <v>74</v>
      </c>
    </row>
    <row r="59" spans="1:16" ht="15.75">
      <c r="A59" s="105" t="s">
        <v>35</v>
      </c>
      <c r="B59" s="26">
        <v>123.5</v>
      </c>
      <c r="C59" s="26">
        <v>129</v>
      </c>
      <c r="D59" s="26">
        <v>72.75</v>
      </c>
      <c r="E59" s="26"/>
      <c r="F59" s="26">
        <v>35.5</v>
      </c>
      <c r="G59" s="26">
        <v>12.5</v>
      </c>
      <c r="H59" s="26"/>
      <c r="I59" s="26">
        <v>23.5</v>
      </c>
      <c r="J59" s="26">
        <v>24.75</v>
      </c>
      <c r="K59" s="26">
        <v>18.5</v>
      </c>
      <c r="L59" s="26">
        <v>24.75</v>
      </c>
      <c r="M59" s="26">
        <v>123.5</v>
      </c>
      <c r="N59" s="26">
        <v>17.25</v>
      </c>
      <c r="O59" s="26">
        <v>17.25</v>
      </c>
      <c r="P59" s="26">
        <v>74</v>
      </c>
    </row>
    <row r="60" spans="1:16" ht="15.75">
      <c r="A60" s="105" t="s">
        <v>36</v>
      </c>
      <c r="B60" s="26">
        <v>123.5</v>
      </c>
      <c r="C60" s="26">
        <v>129</v>
      </c>
      <c r="D60" s="26">
        <v>72.75</v>
      </c>
      <c r="E60" s="26"/>
      <c r="F60" s="26">
        <v>35.5</v>
      </c>
      <c r="G60" s="26">
        <v>12.5</v>
      </c>
      <c r="H60" s="26"/>
      <c r="I60" s="26">
        <v>23.5</v>
      </c>
      <c r="J60" s="26">
        <v>24.75</v>
      </c>
      <c r="K60" s="26">
        <v>18.5</v>
      </c>
      <c r="L60" s="26">
        <v>24.75</v>
      </c>
      <c r="M60" s="26">
        <v>123.5</v>
      </c>
      <c r="N60" s="26">
        <v>17.25</v>
      </c>
      <c r="O60" s="26">
        <v>17.25</v>
      </c>
      <c r="P60" s="26">
        <v>74</v>
      </c>
    </row>
    <row r="61" spans="1:16" ht="15.75">
      <c r="A61" s="105" t="s">
        <v>37</v>
      </c>
      <c r="B61" s="26">
        <v>123.5</v>
      </c>
      <c r="C61" s="26">
        <v>129</v>
      </c>
      <c r="D61" s="26">
        <v>72.75</v>
      </c>
      <c r="E61" s="26"/>
      <c r="F61" s="26">
        <v>35.5</v>
      </c>
      <c r="G61" s="26">
        <v>12.5</v>
      </c>
      <c r="H61" s="26"/>
      <c r="I61" s="26">
        <v>23.5</v>
      </c>
      <c r="J61" s="26">
        <v>24.75</v>
      </c>
      <c r="K61" s="26">
        <v>18.5</v>
      </c>
      <c r="L61" s="26">
        <v>24.75</v>
      </c>
      <c r="M61" s="26">
        <v>123.5</v>
      </c>
      <c r="N61" s="26">
        <v>17.25</v>
      </c>
      <c r="O61" s="26">
        <v>17.25</v>
      </c>
      <c r="P61" s="26">
        <v>74</v>
      </c>
    </row>
    <row r="62" spans="1:16" ht="15.75">
      <c r="A62" s="105" t="s">
        <v>38</v>
      </c>
      <c r="B62" s="26">
        <v>127</v>
      </c>
      <c r="C62" s="26">
        <v>132.75</v>
      </c>
      <c r="D62" s="26">
        <v>74.75</v>
      </c>
      <c r="E62" s="26"/>
      <c r="F62" s="26">
        <v>36.5</v>
      </c>
      <c r="G62" s="26">
        <v>12.75</v>
      </c>
      <c r="H62" s="26"/>
      <c r="I62" s="26">
        <v>24.25</v>
      </c>
      <c r="J62" s="26">
        <v>25.5</v>
      </c>
      <c r="K62" s="26">
        <v>19</v>
      </c>
      <c r="L62" s="26">
        <v>25.5</v>
      </c>
      <c r="M62" s="26">
        <v>127</v>
      </c>
      <c r="N62" s="26">
        <v>17.75</v>
      </c>
      <c r="O62" s="26">
        <v>17.75</v>
      </c>
      <c r="P62" s="26">
        <v>76</v>
      </c>
    </row>
    <row r="63" spans="1:16" ht="15.75">
      <c r="A63" s="105" t="s">
        <v>39</v>
      </c>
      <c r="B63" s="26">
        <v>127</v>
      </c>
      <c r="C63" s="26">
        <v>132.75</v>
      </c>
      <c r="D63" s="26">
        <v>74.75</v>
      </c>
      <c r="E63" s="26"/>
      <c r="F63" s="26">
        <v>36.5</v>
      </c>
      <c r="G63" s="26">
        <v>12.75</v>
      </c>
      <c r="H63" s="26"/>
      <c r="I63" s="26">
        <v>24.25</v>
      </c>
      <c r="J63" s="26">
        <v>25.5</v>
      </c>
      <c r="K63" s="26">
        <v>19</v>
      </c>
      <c r="L63" s="26">
        <v>25.5</v>
      </c>
      <c r="M63" s="26">
        <v>127</v>
      </c>
      <c r="N63" s="26">
        <v>17.75</v>
      </c>
      <c r="O63" s="26">
        <v>17.75</v>
      </c>
      <c r="P63" s="26">
        <v>76</v>
      </c>
    </row>
    <row r="64" spans="1:16" ht="15.75">
      <c r="A64" s="105" t="s">
        <v>40</v>
      </c>
      <c r="B64" s="26">
        <v>127</v>
      </c>
      <c r="C64" s="26">
        <v>132.75</v>
      </c>
      <c r="D64" s="26">
        <v>74.75</v>
      </c>
      <c r="E64" s="26"/>
      <c r="F64" s="26">
        <v>36.5</v>
      </c>
      <c r="G64" s="26">
        <v>12.75</v>
      </c>
      <c r="H64" s="26"/>
      <c r="I64" s="26">
        <v>24.25</v>
      </c>
      <c r="J64" s="26">
        <v>25.5</v>
      </c>
      <c r="K64" s="26">
        <v>19</v>
      </c>
      <c r="L64" s="26">
        <v>25.5</v>
      </c>
      <c r="M64" s="26">
        <v>127</v>
      </c>
      <c r="N64" s="26">
        <v>17.75</v>
      </c>
      <c r="O64" s="26">
        <v>17.75</v>
      </c>
      <c r="P64" s="26">
        <v>76</v>
      </c>
    </row>
    <row r="65" spans="1:16" ht="15.75">
      <c r="A65" s="105" t="s">
        <v>109</v>
      </c>
      <c r="B65" s="26">
        <v>127</v>
      </c>
      <c r="C65" s="26">
        <v>132.75</v>
      </c>
      <c r="D65" s="26">
        <v>74.75</v>
      </c>
      <c r="E65" s="26"/>
      <c r="F65" s="26">
        <v>36.5</v>
      </c>
      <c r="G65" s="26">
        <v>12.75</v>
      </c>
      <c r="H65" s="26"/>
      <c r="I65" s="26">
        <v>24.25</v>
      </c>
      <c r="J65" s="26">
        <v>25.5</v>
      </c>
      <c r="K65" s="26">
        <v>19</v>
      </c>
      <c r="L65" s="26">
        <v>25.5</v>
      </c>
      <c r="M65" s="26">
        <v>127</v>
      </c>
      <c r="N65" s="26">
        <v>17.75</v>
      </c>
      <c r="O65" s="26">
        <v>17.75</v>
      </c>
      <c r="P65" s="26">
        <v>76</v>
      </c>
    </row>
    <row r="66" spans="1:16" ht="15.75">
      <c r="A66" s="80" t="s">
        <v>42</v>
      </c>
      <c r="B66" s="26">
        <v>127</v>
      </c>
      <c r="C66" s="26">
        <v>132.75</v>
      </c>
      <c r="D66" s="26">
        <v>74.75</v>
      </c>
      <c r="E66" s="26"/>
      <c r="F66" s="26">
        <v>36.5</v>
      </c>
      <c r="G66" s="26">
        <v>12.75</v>
      </c>
      <c r="H66" s="26"/>
      <c r="I66" s="26">
        <v>24.25</v>
      </c>
      <c r="J66" s="26">
        <v>25.5</v>
      </c>
      <c r="K66" s="26">
        <v>19</v>
      </c>
      <c r="L66" s="26">
        <v>25.5</v>
      </c>
      <c r="M66" s="26">
        <v>127</v>
      </c>
      <c r="N66" s="26">
        <v>17.75</v>
      </c>
      <c r="O66" s="26">
        <v>17.75</v>
      </c>
      <c r="P66" s="26">
        <v>76</v>
      </c>
    </row>
    <row r="67" spans="1:16" ht="15.75">
      <c r="A67" s="80" t="s">
        <v>43</v>
      </c>
      <c r="B67" s="26">
        <v>130.5</v>
      </c>
      <c r="C67" s="26">
        <v>136.25</v>
      </c>
      <c r="D67" s="26">
        <v>76.75</v>
      </c>
      <c r="E67" s="26"/>
      <c r="F67" s="26">
        <v>37.5</v>
      </c>
      <c r="G67" s="26">
        <v>13</v>
      </c>
      <c r="H67" s="26"/>
      <c r="I67" s="26">
        <v>25</v>
      </c>
      <c r="J67" s="26">
        <v>26.25</v>
      </c>
      <c r="K67" s="26">
        <v>19.5</v>
      </c>
      <c r="L67" s="26">
        <v>26.25</v>
      </c>
      <c r="M67" s="26">
        <v>130.5</v>
      </c>
      <c r="N67" s="26">
        <v>18.25</v>
      </c>
      <c r="O67" s="26">
        <v>18.25</v>
      </c>
      <c r="P67" s="26">
        <v>78</v>
      </c>
    </row>
    <row r="68" spans="1:16" ht="15.75">
      <c r="A68" s="80" t="s">
        <v>44</v>
      </c>
      <c r="B68" s="26">
        <v>130.5</v>
      </c>
      <c r="C68" s="26">
        <v>136.25</v>
      </c>
      <c r="D68" s="26">
        <v>76.75</v>
      </c>
      <c r="E68" s="26"/>
      <c r="F68" s="26">
        <v>37.5</v>
      </c>
      <c r="G68" s="26">
        <v>13</v>
      </c>
      <c r="H68" s="26"/>
      <c r="I68" s="26">
        <v>25</v>
      </c>
      <c r="J68" s="26">
        <v>26.25</v>
      </c>
      <c r="K68" s="26">
        <v>19.5</v>
      </c>
      <c r="L68" s="26">
        <v>26.25</v>
      </c>
      <c r="M68" s="26">
        <v>130.5</v>
      </c>
      <c r="N68" s="26">
        <v>18.25</v>
      </c>
      <c r="O68" s="26">
        <v>18.25</v>
      </c>
      <c r="P68" s="26">
        <v>78</v>
      </c>
    </row>
    <row r="69" spans="1:16" ht="15.75">
      <c r="A69" s="107" t="s">
        <v>111</v>
      </c>
      <c r="B69" s="26">
        <v>130.5</v>
      </c>
      <c r="C69" s="26">
        <v>136.25</v>
      </c>
      <c r="D69" s="26">
        <v>76.75</v>
      </c>
      <c r="E69" s="26"/>
      <c r="F69" s="26">
        <v>37.5</v>
      </c>
      <c r="G69" s="26">
        <v>13</v>
      </c>
      <c r="H69" s="26"/>
      <c r="I69" s="26">
        <v>25</v>
      </c>
      <c r="J69" s="26">
        <v>26.25</v>
      </c>
      <c r="K69" s="26">
        <v>19.5</v>
      </c>
      <c r="L69" s="26">
        <v>26.25</v>
      </c>
      <c r="M69" s="26">
        <v>130.5</v>
      </c>
      <c r="N69" s="26">
        <v>18.25</v>
      </c>
      <c r="O69" s="26">
        <v>18.25</v>
      </c>
      <c r="P69" s="26">
        <v>78</v>
      </c>
    </row>
    <row r="70" spans="1:16" ht="15.75">
      <c r="A70" s="80" t="s">
        <v>46</v>
      </c>
      <c r="B70" s="26">
        <v>130.5</v>
      </c>
      <c r="C70" s="26">
        <v>136.25</v>
      </c>
      <c r="D70" s="26">
        <v>76.75</v>
      </c>
      <c r="E70" s="26"/>
      <c r="F70" s="26">
        <v>37.5</v>
      </c>
      <c r="G70" s="26">
        <v>13</v>
      </c>
      <c r="H70" s="26"/>
      <c r="I70" s="26">
        <v>25</v>
      </c>
      <c r="J70" s="26">
        <v>25.25</v>
      </c>
      <c r="K70" s="26">
        <v>19.5</v>
      </c>
      <c r="L70" s="26">
        <v>26.25</v>
      </c>
      <c r="M70" s="26">
        <v>130.5</v>
      </c>
      <c r="N70" s="26">
        <v>18.25</v>
      </c>
      <c r="O70" s="26">
        <v>18.25</v>
      </c>
      <c r="P70" s="26">
        <v>78</v>
      </c>
    </row>
    <row r="71" spans="1:16" ht="15.75">
      <c r="A71" s="80" t="s">
        <v>47</v>
      </c>
      <c r="B71" s="26">
        <v>134.5</v>
      </c>
      <c r="C71" s="26">
        <v>140.25</v>
      </c>
      <c r="D71" s="26">
        <v>79</v>
      </c>
      <c r="E71" s="26"/>
      <c r="F71" s="26">
        <v>38.75</v>
      </c>
      <c r="G71" s="26">
        <v>13.5</v>
      </c>
      <c r="H71" s="26"/>
      <c r="I71" s="26">
        <v>25.75</v>
      </c>
      <c r="J71" s="26">
        <v>27</v>
      </c>
      <c r="K71" s="26">
        <v>20</v>
      </c>
      <c r="L71" s="26">
        <v>27</v>
      </c>
      <c r="M71" s="26">
        <v>134.5</v>
      </c>
      <c r="N71" s="26">
        <v>18.75</v>
      </c>
      <c r="O71" s="26">
        <v>18.75</v>
      </c>
      <c r="P71" s="26">
        <v>80.25</v>
      </c>
    </row>
    <row r="72" spans="1:16" ht="15.75">
      <c r="A72" s="80" t="s">
        <v>48</v>
      </c>
      <c r="B72" s="26">
        <v>134.5</v>
      </c>
      <c r="C72" s="26">
        <v>140.25</v>
      </c>
      <c r="D72" s="26">
        <v>79</v>
      </c>
      <c r="E72" s="26"/>
      <c r="F72" s="26">
        <v>38.75</v>
      </c>
      <c r="G72" s="26">
        <v>13.5</v>
      </c>
      <c r="H72" s="26"/>
      <c r="I72" s="26">
        <v>25.75</v>
      </c>
      <c r="J72" s="26">
        <v>27</v>
      </c>
      <c r="K72" s="26">
        <v>20</v>
      </c>
      <c r="L72" s="26">
        <v>27</v>
      </c>
      <c r="M72" s="26">
        <v>134.5</v>
      </c>
      <c r="N72" s="26">
        <v>18.75</v>
      </c>
      <c r="O72" s="26">
        <v>18.75</v>
      </c>
      <c r="P72" s="26">
        <v>80.25</v>
      </c>
    </row>
    <row r="73" spans="1:16" ht="15.75">
      <c r="A73" s="80" t="s">
        <v>49</v>
      </c>
      <c r="B73" s="26">
        <v>134.5</v>
      </c>
      <c r="C73" s="26">
        <v>140.25</v>
      </c>
      <c r="D73" s="26">
        <v>79</v>
      </c>
      <c r="E73" s="26"/>
      <c r="F73" s="26">
        <v>38.75</v>
      </c>
      <c r="G73" s="26">
        <v>13.5</v>
      </c>
      <c r="H73" s="26"/>
      <c r="I73" s="26">
        <v>25.75</v>
      </c>
      <c r="J73" s="26">
        <v>27</v>
      </c>
      <c r="K73" s="26">
        <v>20</v>
      </c>
      <c r="L73" s="26">
        <v>27</v>
      </c>
      <c r="M73" s="26">
        <v>134.5</v>
      </c>
      <c r="N73" s="26">
        <v>18.75</v>
      </c>
      <c r="O73" s="26">
        <v>18.75</v>
      </c>
      <c r="P73" s="26">
        <v>80.25</v>
      </c>
    </row>
    <row r="74" spans="1:16" ht="15.75">
      <c r="A74" s="80" t="s">
        <v>50</v>
      </c>
      <c r="B74" s="26">
        <v>134.5</v>
      </c>
      <c r="C74" s="26">
        <v>140.25</v>
      </c>
      <c r="D74" s="26">
        <v>79</v>
      </c>
      <c r="E74" s="26"/>
      <c r="F74" s="26">
        <v>38.75</v>
      </c>
      <c r="G74" s="26">
        <v>13.5</v>
      </c>
      <c r="H74" s="26"/>
      <c r="I74" s="26">
        <v>25.75</v>
      </c>
      <c r="J74" s="26">
        <v>27</v>
      </c>
      <c r="K74" s="26">
        <v>20</v>
      </c>
      <c r="L74" s="26">
        <v>27</v>
      </c>
      <c r="M74" s="26">
        <v>134.5</v>
      </c>
      <c r="N74" s="26">
        <v>18.75</v>
      </c>
      <c r="O74" s="26">
        <v>18.75</v>
      </c>
      <c r="P74" s="26">
        <v>80.25</v>
      </c>
    </row>
    <row r="75" spans="1:16" ht="15.75">
      <c r="A75" s="80" t="s">
        <v>51</v>
      </c>
      <c r="B75" s="26">
        <v>134.5</v>
      </c>
      <c r="C75" s="26">
        <v>140.25</v>
      </c>
      <c r="D75" s="26">
        <v>79</v>
      </c>
      <c r="E75" s="26"/>
      <c r="F75" s="26">
        <v>38.75</v>
      </c>
      <c r="G75" s="26">
        <v>13.5</v>
      </c>
      <c r="H75" s="26"/>
      <c r="I75" s="26">
        <v>25.75</v>
      </c>
      <c r="J75" s="26">
        <v>27</v>
      </c>
      <c r="K75" s="26">
        <v>20</v>
      </c>
      <c r="L75" s="26">
        <v>27</v>
      </c>
      <c r="M75" s="26">
        <v>134.5</v>
      </c>
      <c r="N75" s="26">
        <v>18.75</v>
      </c>
      <c r="O75" s="26">
        <v>18.75</v>
      </c>
      <c r="P75" s="26">
        <v>80.25</v>
      </c>
    </row>
    <row r="76" spans="1:16" ht="15.75">
      <c r="A76" s="80" t="s">
        <v>52</v>
      </c>
      <c r="B76" s="26">
        <v>137.5</v>
      </c>
      <c r="C76" s="26">
        <v>143.5</v>
      </c>
      <c r="D76" s="26">
        <v>80.75</v>
      </c>
      <c r="E76" s="26"/>
      <c r="F76" s="26">
        <v>39.5</v>
      </c>
      <c r="G76" s="26">
        <v>13.75</v>
      </c>
      <c r="H76" s="26"/>
      <c r="I76" s="26">
        <v>26.25</v>
      </c>
      <c r="J76" s="26">
        <v>27.5</v>
      </c>
      <c r="K76" s="26">
        <v>20.5</v>
      </c>
      <c r="L76" s="26">
        <v>27.5</v>
      </c>
      <c r="M76" s="26">
        <v>137.5</v>
      </c>
      <c r="N76" s="26">
        <v>19.25</v>
      </c>
      <c r="O76" s="26">
        <v>19.25</v>
      </c>
      <c r="P76" s="26">
        <v>82</v>
      </c>
    </row>
    <row r="77" spans="1:16" ht="15.75">
      <c r="A77" s="80" t="s">
        <v>53</v>
      </c>
      <c r="B77" s="26">
        <v>137.9</v>
      </c>
      <c r="C77" s="26">
        <v>143.5</v>
      </c>
      <c r="D77" s="26">
        <v>80.75</v>
      </c>
      <c r="E77" s="26"/>
      <c r="F77" s="26">
        <v>39.5</v>
      </c>
      <c r="G77" s="26">
        <v>13.75</v>
      </c>
      <c r="H77" s="26"/>
      <c r="I77" s="26">
        <v>26.25</v>
      </c>
      <c r="J77" s="26">
        <v>27.5</v>
      </c>
      <c r="K77" s="26">
        <v>20.5</v>
      </c>
      <c r="L77" s="26">
        <v>27.5</v>
      </c>
      <c r="M77" s="26">
        <v>137.5</v>
      </c>
      <c r="N77" s="26">
        <v>19.25</v>
      </c>
      <c r="O77" s="26">
        <v>19.25</v>
      </c>
      <c r="P77" s="26">
        <v>82</v>
      </c>
    </row>
    <row r="78" spans="1:16" ht="15.75">
      <c r="A78" s="80" t="s">
        <v>54</v>
      </c>
      <c r="B78" s="26">
        <v>141.5</v>
      </c>
      <c r="C78" s="26">
        <v>147.75</v>
      </c>
      <c r="D78" s="26">
        <v>83.25</v>
      </c>
      <c r="E78" s="26"/>
      <c r="F78" s="26">
        <v>40.75</v>
      </c>
      <c r="G78" s="26">
        <v>14.25</v>
      </c>
      <c r="H78" s="26"/>
      <c r="I78" s="26">
        <v>27</v>
      </c>
      <c r="J78" s="26">
        <v>28.25</v>
      </c>
      <c r="K78" s="26">
        <v>21</v>
      </c>
      <c r="L78" s="26">
        <v>28.25</v>
      </c>
      <c r="M78" s="26">
        <v>141.5</v>
      </c>
      <c r="N78" s="26">
        <v>19.75</v>
      </c>
      <c r="O78" s="26">
        <v>19.75</v>
      </c>
      <c r="P78" s="26">
        <v>84.5</v>
      </c>
    </row>
    <row r="79" spans="1:16" ht="15.75">
      <c r="A79" s="80" t="s">
        <v>55</v>
      </c>
      <c r="B79" s="26">
        <v>141.5</v>
      </c>
      <c r="C79" s="26">
        <v>147.75</v>
      </c>
      <c r="D79" s="26">
        <v>83.25</v>
      </c>
      <c r="E79" s="26"/>
      <c r="F79" s="26">
        <v>40.75</v>
      </c>
      <c r="G79" s="26">
        <v>14.25</v>
      </c>
      <c r="H79" s="26"/>
      <c r="I79" s="26">
        <v>27</v>
      </c>
      <c r="J79" s="26">
        <v>28.25</v>
      </c>
      <c r="K79" s="26">
        <v>21</v>
      </c>
      <c r="L79" s="26">
        <v>28.25</v>
      </c>
      <c r="M79" s="26">
        <v>141.5</v>
      </c>
      <c r="N79" s="26">
        <v>19.75</v>
      </c>
      <c r="O79" s="26">
        <v>19.75</v>
      </c>
      <c r="P79" s="26">
        <v>84.5</v>
      </c>
    </row>
    <row r="80" spans="1:16" ht="15.75">
      <c r="A80" s="80" t="s">
        <v>56</v>
      </c>
      <c r="B80" s="26">
        <v>141.5</v>
      </c>
      <c r="C80" s="26">
        <v>147.75</v>
      </c>
      <c r="D80" s="26">
        <v>83.25</v>
      </c>
      <c r="E80" s="26"/>
      <c r="F80" s="26">
        <v>40.75</v>
      </c>
      <c r="G80" s="26">
        <v>14.25</v>
      </c>
      <c r="H80" s="26"/>
      <c r="I80" s="26">
        <v>27</v>
      </c>
      <c r="J80" s="26">
        <v>28.25</v>
      </c>
      <c r="K80" s="26">
        <v>21</v>
      </c>
      <c r="L80" s="26">
        <v>28.25</v>
      </c>
      <c r="M80" s="26">
        <v>141.5</v>
      </c>
      <c r="N80" s="26">
        <v>19.75</v>
      </c>
      <c r="O80" s="26">
        <v>19.75</v>
      </c>
      <c r="P80" s="26">
        <v>84.5</v>
      </c>
    </row>
    <row r="81" spans="1:16" ht="15.75">
      <c r="A81" s="80" t="s">
        <v>57</v>
      </c>
      <c r="B81" s="26">
        <v>141.5</v>
      </c>
      <c r="C81" s="26">
        <v>147.75</v>
      </c>
      <c r="D81" s="26">
        <v>83.25</v>
      </c>
      <c r="E81" s="26"/>
      <c r="F81" s="26">
        <v>40.75</v>
      </c>
      <c r="G81" s="26">
        <v>14.25</v>
      </c>
      <c r="H81" s="26"/>
      <c r="I81" s="26">
        <v>27</v>
      </c>
      <c r="J81" s="26">
        <v>28.25</v>
      </c>
      <c r="K81" s="26">
        <v>21</v>
      </c>
      <c r="L81" s="26">
        <v>28.25</v>
      </c>
      <c r="M81" s="26">
        <v>141.5</v>
      </c>
      <c r="N81" s="26">
        <v>19.75</v>
      </c>
      <c r="O81" s="26">
        <v>19.75</v>
      </c>
      <c r="P81" s="26">
        <v>84.5</v>
      </c>
    </row>
    <row r="82" spans="1:16" ht="15.75">
      <c r="A82" s="80" t="s">
        <v>58</v>
      </c>
      <c r="B82" s="26">
        <v>141.5</v>
      </c>
      <c r="C82" s="26">
        <v>147.75</v>
      </c>
      <c r="D82" s="26">
        <v>83.25</v>
      </c>
      <c r="E82" s="26"/>
      <c r="F82" s="26">
        <v>40.75</v>
      </c>
      <c r="G82" s="26">
        <v>14.25</v>
      </c>
      <c r="H82" s="26"/>
      <c r="I82" s="26">
        <v>27</v>
      </c>
      <c r="J82" s="26">
        <v>28.25</v>
      </c>
      <c r="K82" s="26">
        <v>21</v>
      </c>
      <c r="L82" s="26">
        <v>28.25</v>
      </c>
      <c r="M82" s="26">
        <v>141.5</v>
      </c>
      <c r="N82" s="26">
        <v>19.75</v>
      </c>
      <c r="O82" s="26">
        <v>19.75</v>
      </c>
      <c r="P82" s="26">
        <v>84.5</v>
      </c>
    </row>
    <row r="83" spans="1:16" ht="15.75">
      <c r="A83" s="80" t="s">
        <v>59</v>
      </c>
      <c r="B83" s="26">
        <v>141.5</v>
      </c>
      <c r="C83" s="26">
        <v>147.75</v>
      </c>
      <c r="D83" s="26">
        <v>83.25</v>
      </c>
      <c r="E83" s="26"/>
      <c r="F83" s="26">
        <v>40.75</v>
      </c>
      <c r="G83" s="26">
        <v>14.25</v>
      </c>
      <c r="H83" s="26"/>
      <c r="I83" s="26">
        <v>27</v>
      </c>
      <c r="J83" s="26">
        <v>28.25</v>
      </c>
      <c r="K83" s="26">
        <v>21</v>
      </c>
      <c r="L83" s="26">
        <v>28.25</v>
      </c>
      <c r="M83" s="26">
        <v>141.5</v>
      </c>
      <c r="N83" s="26">
        <v>19.75</v>
      </c>
      <c r="O83" s="26">
        <v>19.75</v>
      </c>
      <c r="P83" s="26">
        <v>84.5</v>
      </c>
    </row>
    <row r="84" spans="1:16" ht="15.75">
      <c r="A84" s="80" t="s">
        <v>60</v>
      </c>
      <c r="B84" s="26">
        <v>141.5</v>
      </c>
      <c r="C84" s="26">
        <v>147.75</v>
      </c>
      <c r="D84" s="26">
        <v>83.25</v>
      </c>
      <c r="E84" s="26"/>
      <c r="F84" s="26">
        <v>40.75</v>
      </c>
      <c r="G84" s="26">
        <v>14.25</v>
      </c>
      <c r="H84" s="26"/>
      <c r="I84" s="26">
        <v>27</v>
      </c>
      <c r="J84" s="26">
        <v>28.25</v>
      </c>
      <c r="K84" s="26">
        <v>21</v>
      </c>
      <c r="L84" s="26">
        <v>28.25</v>
      </c>
      <c r="M84" s="26">
        <v>141.5</v>
      </c>
      <c r="N84" s="26">
        <v>19.75</v>
      </c>
      <c r="O84" s="26">
        <v>19.75</v>
      </c>
      <c r="P84" s="26">
        <v>84.5</v>
      </c>
    </row>
    <row r="85" spans="1:16" ht="15.75">
      <c r="A85" s="80" t="s">
        <v>61</v>
      </c>
      <c r="B85" s="26">
        <v>141.5</v>
      </c>
      <c r="C85" s="26">
        <v>147.75</v>
      </c>
      <c r="D85" s="26">
        <v>83.25</v>
      </c>
      <c r="E85" s="26"/>
      <c r="F85" s="26">
        <v>40.75</v>
      </c>
      <c r="G85" s="26">
        <v>14.25</v>
      </c>
      <c r="H85" s="26"/>
      <c r="I85" s="26">
        <v>27</v>
      </c>
      <c r="J85" s="26">
        <v>28.25</v>
      </c>
      <c r="K85" s="26">
        <v>21</v>
      </c>
      <c r="L85" s="26">
        <v>28.25</v>
      </c>
      <c r="M85" s="26">
        <v>141.5</v>
      </c>
      <c r="N85" s="26">
        <v>19.75</v>
      </c>
      <c r="O85" s="26">
        <v>19.75</v>
      </c>
      <c r="P85" s="26">
        <v>84.5</v>
      </c>
    </row>
    <row r="86" spans="1:16" ht="15.75">
      <c r="A86" s="80" t="s">
        <v>62</v>
      </c>
      <c r="B86" s="26">
        <v>141.5</v>
      </c>
      <c r="C86" s="26">
        <v>147.75</v>
      </c>
      <c r="D86" s="26">
        <v>83.25</v>
      </c>
      <c r="E86" s="26"/>
      <c r="F86" s="26">
        <v>40.75</v>
      </c>
      <c r="G86" s="26">
        <v>14.25</v>
      </c>
      <c r="H86" s="26"/>
      <c r="I86" s="26">
        <v>27</v>
      </c>
      <c r="J86" s="26">
        <v>28.25</v>
      </c>
      <c r="K86" s="26">
        <v>21</v>
      </c>
      <c r="L86" s="26">
        <v>28.25</v>
      </c>
      <c r="M86" s="26">
        <v>141.5</v>
      </c>
      <c r="N86" s="26">
        <v>19.75</v>
      </c>
      <c r="O86" s="26">
        <v>19.75</v>
      </c>
      <c r="P86" s="26">
        <v>84.5</v>
      </c>
    </row>
    <row r="87" spans="1:16" ht="15.75">
      <c r="A87" s="80" t="s">
        <v>63</v>
      </c>
      <c r="B87" s="26">
        <v>141.5</v>
      </c>
      <c r="C87" s="26">
        <v>147.75</v>
      </c>
      <c r="D87" s="26">
        <v>83.25</v>
      </c>
      <c r="E87" s="26"/>
      <c r="F87" s="26">
        <v>40.75</v>
      </c>
      <c r="G87" s="26">
        <v>14.25</v>
      </c>
      <c r="H87" s="26"/>
      <c r="I87" s="26">
        <v>27</v>
      </c>
      <c r="J87" s="26">
        <v>28.25</v>
      </c>
      <c r="K87" s="26">
        <v>21</v>
      </c>
      <c r="L87" s="26">
        <v>28.25</v>
      </c>
      <c r="M87" s="26">
        <v>141.5</v>
      </c>
      <c r="N87" s="26">
        <v>19.75</v>
      </c>
      <c r="O87" s="26">
        <v>19.75</v>
      </c>
      <c r="P87" s="26">
        <v>84.5</v>
      </c>
    </row>
    <row r="88" spans="1:16" ht="15.75">
      <c r="A88" s="80" t="s">
        <v>64</v>
      </c>
      <c r="B88" s="26">
        <v>143.75</v>
      </c>
      <c r="C88" s="26">
        <v>150.25</v>
      </c>
      <c r="D88" s="26">
        <v>84.25</v>
      </c>
      <c r="E88" s="26"/>
      <c r="F88" s="26">
        <v>41.5</v>
      </c>
      <c r="G88" s="26">
        <v>14.5</v>
      </c>
      <c r="H88" s="26"/>
      <c r="I88" s="26">
        <v>27.5</v>
      </c>
      <c r="J88" s="26">
        <v>28.75</v>
      </c>
      <c r="K88" s="26">
        <v>21.25</v>
      </c>
      <c r="L88" s="26">
        <v>28.75</v>
      </c>
      <c r="M88" s="26">
        <v>143.75</v>
      </c>
      <c r="N88" s="26">
        <v>20</v>
      </c>
      <c r="O88" s="26">
        <v>20</v>
      </c>
      <c r="P88" s="26">
        <v>86</v>
      </c>
    </row>
    <row r="89" spans="1:16" ht="15.75">
      <c r="A89" s="80" t="s">
        <v>65</v>
      </c>
      <c r="B89" s="26">
        <v>143.75</v>
      </c>
      <c r="C89" s="26">
        <v>150.25</v>
      </c>
      <c r="D89" s="26">
        <v>84.5</v>
      </c>
      <c r="E89" s="26"/>
      <c r="F89" s="26">
        <v>41.5</v>
      </c>
      <c r="G89" s="26">
        <v>14.5</v>
      </c>
      <c r="H89" s="26"/>
      <c r="I89" s="26">
        <v>27.5</v>
      </c>
      <c r="J89" s="26">
        <v>28.75</v>
      </c>
      <c r="K89" s="26">
        <v>21.25</v>
      </c>
      <c r="L89" s="26">
        <v>28.75</v>
      </c>
      <c r="M89" s="26">
        <v>143.75</v>
      </c>
      <c r="N89" s="26">
        <v>20</v>
      </c>
      <c r="O89" s="26">
        <v>20</v>
      </c>
      <c r="P89" s="26">
        <v>86</v>
      </c>
    </row>
    <row r="90" spans="1:16" ht="15.75">
      <c r="A90" s="108" t="s">
        <v>66</v>
      </c>
      <c r="B90" s="27">
        <v>143.75</v>
      </c>
      <c r="C90" s="27">
        <v>150.25</v>
      </c>
      <c r="D90" s="27">
        <v>84.5</v>
      </c>
      <c r="E90" s="27"/>
      <c r="F90" s="27">
        <v>41.5</v>
      </c>
      <c r="G90" s="27">
        <v>14.5</v>
      </c>
      <c r="H90" s="27"/>
      <c r="I90" s="27">
        <v>27.5</v>
      </c>
      <c r="J90" s="27">
        <v>28.75</v>
      </c>
      <c r="K90" s="27">
        <v>21.25</v>
      </c>
      <c r="L90" s="27">
        <v>28.75</v>
      </c>
      <c r="M90" s="27">
        <v>143.75</v>
      </c>
      <c r="N90" s="27">
        <v>20</v>
      </c>
      <c r="O90" s="27">
        <v>20</v>
      </c>
      <c r="P90" s="27">
        <v>86</v>
      </c>
    </row>
    <row r="91" spans="1:16" ht="15.75">
      <c r="A91" s="80" t="s">
        <v>131</v>
      </c>
      <c r="B91" s="26">
        <v>143.75</v>
      </c>
      <c r="C91" s="26">
        <v>150.25</v>
      </c>
      <c r="D91" s="26">
        <v>84.5</v>
      </c>
      <c r="E91" s="26"/>
      <c r="F91" s="26">
        <v>41.5</v>
      </c>
      <c r="G91" s="26">
        <v>14.5</v>
      </c>
      <c r="H91" s="26"/>
      <c r="I91" s="26">
        <v>27.5</v>
      </c>
      <c r="J91" s="26">
        <v>28.75</v>
      </c>
      <c r="K91" s="26">
        <v>21.25</v>
      </c>
      <c r="L91" s="26">
        <v>28.75</v>
      </c>
      <c r="M91" s="26">
        <v>143.75</v>
      </c>
      <c r="N91" s="26">
        <v>20</v>
      </c>
      <c r="O91" s="26">
        <v>20</v>
      </c>
      <c r="P91" s="26">
        <v>86</v>
      </c>
    </row>
    <row r="92" spans="1:16" ht="15.75">
      <c r="A92" s="98" t="s">
        <v>132</v>
      </c>
      <c r="B92" s="26">
        <v>143.75</v>
      </c>
      <c r="C92" s="26">
        <v>150.25</v>
      </c>
      <c r="D92" s="26">
        <v>84.5</v>
      </c>
      <c r="E92" s="26"/>
      <c r="F92" s="26">
        <v>41.5</v>
      </c>
      <c r="G92" s="26">
        <v>14.5</v>
      </c>
      <c r="H92" s="26"/>
      <c r="I92" s="26">
        <v>27.5</v>
      </c>
      <c r="J92" s="26">
        <v>28.75</v>
      </c>
      <c r="K92" s="26">
        <v>21.25</v>
      </c>
      <c r="L92" s="26">
        <v>28.75</v>
      </c>
      <c r="M92" s="26">
        <v>143.75</v>
      </c>
      <c r="N92" s="26">
        <v>20</v>
      </c>
      <c r="O92" s="26">
        <v>20</v>
      </c>
      <c r="P92" s="26">
        <v>86</v>
      </c>
    </row>
    <row r="93" spans="1:16" ht="15.75">
      <c r="A93" s="98" t="s">
        <v>133</v>
      </c>
      <c r="B93" s="26">
        <v>143.75</v>
      </c>
      <c r="C93" s="26">
        <v>150.25</v>
      </c>
      <c r="D93" s="26">
        <v>84.5</v>
      </c>
      <c r="E93" s="26"/>
      <c r="F93" s="26">
        <v>41.5</v>
      </c>
      <c r="G93" s="26">
        <v>14.5</v>
      </c>
      <c r="H93" s="26"/>
      <c r="I93" s="26">
        <v>27.5</v>
      </c>
      <c r="J93" s="26">
        <v>28.75</v>
      </c>
      <c r="K93" s="26">
        <v>21.25</v>
      </c>
      <c r="L93" s="26">
        <v>28.75</v>
      </c>
      <c r="M93" s="26">
        <v>143.75</v>
      </c>
      <c r="N93" s="26">
        <v>20</v>
      </c>
      <c r="O93" s="26">
        <v>20</v>
      </c>
      <c r="P93" s="26">
        <v>86</v>
      </c>
    </row>
    <row r="94" spans="1:16" ht="15.75">
      <c r="A94" s="98" t="s">
        <v>134</v>
      </c>
      <c r="B94" s="26">
        <v>143.75</v>
      </c>
      <c r="C94" s="26">
        <v>150.25</v>
      </c>
      <c r="D94" s="26">
        <v>84.5</v>
      </c>
      <c r="E94" s="26"/>
      <c r="F94" s="26">
        <v>41.5</v>
      </c>
      <c r="G94" s="26">
        <v>14.5</v>
      </c>
      <c r="H94" s="26"/>
      <c r="I94" s="26">
        <v>27.5</v>
      </c>
      <c r="J94" s="26">
        <v>28.75</v>
      </c>
      <c r="K94" s="26">
        <v>21.25</v>
      </c>
      <c r="L94" s="26">
        <v>28.75</v>
      </c>
      <c r="M94" s="26">
        <v>143.75</v>
      </c>
      <c r="N94" s="26">
        <v>20</v>
      </c>
      <c r="O94" s="26">
        <v>20</v>
      </c>
      <c r="P94" s="26">
        <v>86</v>
      </c>
    </row>
    <row r="95" spans="1:16" ht="15.75">
      <c r="A95" s="98" t="s">
        <v>135</v>
      </c>
      <c r="B95" s="26">
        <v>143.75</v>
      </c>
      <c r="C95" s="26">
        <v>150.3276</v>
      </c>
      <c r="D95" s="26">
        <v>84.8126</v>
      </c>
      <c r="E95" s="26"/>
      <c r="F95" s="26">
        <v>41.5986</v>
      </c>
      <c r="G95" s="26">
        <v>14.5</v>
      </c>
      <c r="H95" s="26"/>
      <c r="I95" s="26">
        <v>27.5</v>
      </c>
      <c r="J95" s="26">
        <v>28.75</v>
      </c>
      <c r="K95" s="26">
        <v>21.25</v>
      </c>
      <c r="L95" s="26">
        <v>28.75</v>
      </c>
      <c r="M95" s="26">
        <v>143.75</v>
      </c>
      <c r="N95" s="26">
        <v>20</v>
      </c>
      <c r="O95" s="26">
        <v>20</v>
      </c>
      <c r="P95" s="26">
        <v>86</v>
      </c>
    </row>
    <row r="96" spans="1:16" ht="15.75">
      <c r="A96" s="98" t="s">
        <v>136</v>
      </c>
      <c r="B96" s="26">
        <v>143.75</v>
      </c>
      <c r="C96" s="26">
        <v>150.25</v>
      </c>
      <c r="D96" s="26">
        <v>84.5</v>
      </c>
      <c r="E96" s="26"/>
      <c r="F96" s="26">
        <v>41.5</v>
      </c>
      <c r="G96" s="26">
        <v>14.5</v>
      </c>
      <c r="H96" s="26"/>
      <c r="I96" s="26">
        <v>27.5</v>
      </c>
      <c r="J96" s="26">
        <v>28.75</v>
      </c>
      <c r="K96" s="26">
        <v>21.25</v>
      </c>
      <c r="L96" s="26">
        <v>28.75</v>
      </c>
      <c r="M96" s="26">
        <v>143.75</v>
      </c>
      <c r="N96" s="26">
        <v>20</v>
      </c>
      <c r="O96" s="26">
        <v>20</v>
      </c>
      <c r="P96" s="26">
        <v>86</v>
      </c>
    </row>
    <row r="97" spans="1:16" ht="15.75">
      <c r="A97" s="98" t="s">
        <v>137</v>
      </c>
      <c r="B97" s="26">
        <v>143.75</v>
      </c>
      <c r="C97" s="26">
        <v>150.25</v>
      </c>
      <c r="D97" s="26">
        <v>84.5</v>
      </c>
      <c r="E97" s="26"/>
      <c r="F97" s="26">
        <v>41.5</v>
      </c>
      <c r="G97" s="26">
        <v>14.5</v>
      </c>
      <c r="H97" s="26"/>
      <c r="I97" s="26">
        <v>27.5</v>
      </c>
      <c r="J97" s="26">
        <v>28.75</v>
      </c>
      <c r="K97" s="26">
        <v>21.25</v>
      </c>
      <c r="L97" s="26">
        <v>28.75</v>
      </c>
      <c r="M97" s="26">
        <v>142.75</v>
      </c>
      <c r="N97" s="26">
        <v>20</v>
      </c>
      <c r="O97" s="26">
        <v>20</v>
      </c>
      <c r="P97" s="26">
        <v>86</v>
      </c>
    </row>
    <row r="98" spans="1:16" ht="15.75">
      <c r="A98" s="98" t="s">
        <v>139</v>
      </c>
      <c r="B98" s="26">
        <v>143.75</v>
      </c>
      <c r="C98" s="26">
        <v>150.25</v>
      </c>
      <c r="D98" s="26">
        <v>84.5</v>
      </c>
      <c r="E98" s="26"/>
      <c r="F98" s="26">
        <v>41.5</v>
      </c>
      <c r="G98" s="26">
        <v>14.5</v>
      </c>
      <c r="H98" s="26"/>
      <c r="I98" s="26">
        <v>27.5</v>
      </c>
      <c r="J98" s="26">
        <v>28.75</v>
      </c>
      <c r="K98" s="26">
        <v>21.25</v>
      </c>
      <c r="L98" s="26">
        <v>28.75</v>
      </c>
      <c r="M98" s="26">
        <v>142.75</v>
      </c>
      <c r="N98" s="26">
        <v>20</v>
      </c>
      <c r="O98" s="26">
        <v>20</v>
      </c>
      <c r="P98" s="26">
        <v>86</v>
      </c>
    </row>
    <row r="99" spans="1:16" ht="15.75">
      <c r="A99" s="98" t="s">
        <v>140</v>
      </c>
      <c r="B99" s="26">
        <v>143.75</v>
      </c>
      <c r="C99" s="26">
        <v>150.25</v>
      </c>
      <c r="D99" s="26">
        <v>84.5</v>
      </c>
      <c r="E99" s="26"/>
      <c r="F99" s="26">
        <v>41.5</v>
      </c>
      <c r="G99" s="26">
        <v>14.5</v>
      </c>
      <c r="H99" s="26"/>
      <c r="I99" s="26">
        <v>27.5</v>
      </c>
      <c r="J99" s="26">
        <v>28.75</v>
      </c>
      <c r="K99" s="26">
        <v>21.25</v>
      </c>
      <c r="L99" s="26">
        <v>28.75</v>
      </c>
      <c r="M99" s="26">
        <v>143.75</v>
      </c>
      <c r="N99" s="26">
        <v>20</v>
      </c>
      <c r="O99" s="26">
        <v>20</v>
      </c>
      <c r="P99" s="26">
        <v>86</v>
      </c>
    </row>
    <row r="100" spans="1:16" ht="15.75">
      <c r="A100" s="98" t="s">
        <v>141</v>
      </c>
      <c r="B100" s="26">
        <f>B99</f>
        <v>143.75</v>
      </c>
      <c r="C100" s="26">
        <f aca="true" t="shared" si="0" ref="C100:P101">C99</f>
        <v>150.25</v>
      </c>
      <c r="D100" s="26">
        <f t="shared" si="0"/>
        <v>84.5</v>
      </c>
      <c r="E100" s="26"/>
      <c r="F100" s="26">
        <f t="shared" si="0"/>
        <v>41.5</v>
      </c>
      <c r="G100" s="26">
        <f t="shared" si="0"/>
        <v>14.5</v>
      </c>
      <c r="H100" s="26"/>
      <c r="I100" s="26">
        <f t="shared" si="0"/>
        <v>27.5</v>
      </c>
      <c r="J100" s="26">
        <f t="shared" si="0"/>
        <v>28.75</v>
      </c>
      <c r="K100" s="26">
        <f t="shared" si="0"/>
        <v>21.25</v>
      </c>
      <c r="L100" s="26">
        <f t="shared" si="0"/>
        <v>28.75</v>
      </c>
      <c r="M100" s="26">
        <f t="shared" si="0"/>
        <v>143.75</v>
      </c>
      <c r="N100" s="26">
        <f t="shared" si="0"/>
        <v>20</v>
      </c>
      <c r="O100" s="26">
        <f t="shared" si="0"/>
        <v>20</v>
      </c>
      <c r="P100" s="26">
        <f t="shared" si="0"/>
        <v>86</v>
      </c>
    </row>
    <row r="101" spans="1:16" ht="15.75">
      <c r="A101" s="98" t="s">
        <v>143</v>
      </c>
      <c r="B101" s="26">
        <f>B100</f>
        <v>143.75</v>
      </c>
      <c r="C101" s="26">
        <f t="shared" si="0"/>
        <v>150.25</v>
      </c>
      <c r="D101" s="26">
        <f t="shared" si="0"/>
        <v>84.5</v>
      </c>
      <c r="E101" s="26"/>
      <c r="F101" s="26">
        <f t="shared" si="0"/>
        <v>41.5</v>
      </c>
      <c r="G101" s="26">
        <f t="shared" si="0"/>
        <v>14.5</v>
      </c>
      <c r="H101" s="26"/>
      <c r="I101" s="26">
        <f t="shared" si="0"/>
        <v>27.5</v>
      </c>
      <c r="J101" s="26">
        <f t="shared" si="0"/>
        <v>28.75</v>
      </c>
      <c r="K101" s="26">
        <f t="shared" si="0"/>
        <v>21.25</v>
      </c>
      <c r="L101" s="26">
        <f t="shared" si="0"/>
        <v>28.75</v>
      </c>
      <c r="M101" s="26">
        <f t="shared" si="0"/>
        <v>143.75</v>
      </c>
      <c r="N101" s="26">
        <f t="shared" si="0"/>
        <v>20</v>
      </c>
      <c r="O101" s="26">
        <f t="shared" si="0"/>
        <v>20</v>
      </c>
      <c r="P101" s="26">
        <f t="shared" si="0"/>
        <v>86</v>
      </c>
    </row>
    <row r="102" spans="1:16" ht="15.75">
      <c r="A102" s="98" t="s">
        <v>144</v>
      </c>
      <c r="B102" s="26">
        <v>147</v>
      </c>
      <c r="C102" s="26">
        <v>153</v>
      </c>
      <c r="D102" s="26">
        <v>86.5</v>
      </c>
      <c r="E102" s="26"/>
      <c r="F102" s="26">
        <v>42.5</v>
      </c>
      <c r="G102" s="26">
        <v>14.75</v>
      </c>
      <c r="H102" s="26"/>
      <c r="I102" s="26">
        <v>28</v>
      </c>
      <c r="J102" s="26">
        <v>29.5</v>
      </c>
      <c r="K102" s="26">
        <v>21.75</v>
      </c>
      <c r="L102" s="26">
        <v>29.5</v>
      </c>
      <c r="M102" s="26">
        <v>147</v>
      </c>
      <c r="N102" s="26">
        <v>20.5</v>
      </c>
      <c r="O102" s="26">
        <v>20.5</v>
      </c>
      <c r="P102" s="26">
        <v>88</v>
      </c>
    </row>
    <row r="103" spans="1:16" ht="15.75">
      <c r="A103" s="98" t="s">
        <v>145</v>
      </c>
      <c r="B103" s="26">
        <v>147</v>
      </c>
      <c r="C103" s="26">
        <v>153</v>
      </c>
      <c r="D103" s="26">
        <v>86.5</v>
      </c>
      <c r="E103" s="26"/>
      <c r="F103" s="26">
        <v>42.5</v>
      </c>
      <c r="G103" s="26">
        <v>14.75</v>
      </c>
      <c r="H103" s="26"/>
      <c r="I103" s="26">
        <v>28</v>
      </c>
      <c r="J103" s="26">
        <v>29.5</v>
      </c>
      <c r="K103" s="26">
        <v>21.75</v>
      </c>
      <c r="L103" s="26">
        <v>29.5</v>
      </c>
      <c r="M103" s="26">
        <v>147</v>
      </c>
      <c r="N103" s="26">
        <v>20.5</v>
      </c>
      <c r="O103" s="26">
        <v>20.5</v>
      </c>
      <c r="P103" s="26">
        <v>88</v>
      </c>
    </row>
    <row r="104" spans="1:16" ht="15.75">
      <c r="A104" s="109" t="s">
        <v>146</v>
      </c>
      <c r="B104" s="26">
        <v>147</v>
      </c>
      <c r="C104" s="26">
        <v>153.5</v>
      </c>
      <c r="D104" s="26">
        <v>86.5</v>
      </c>
      <c r="E104" s="26"/>
      <c r="F104" s="26">
        <v>42.5</v>
      </c>
      <c r="G104" s="26">
        <v>14.75</v>
      </c>
      <c r="H104" s="26"/>
      <c r="I104" s="26">
        <v>28</v>
      </c>
      <c r="J104" s="26">
        <v>29.5</v>
      </c>
      <c r="K104" s="26">
        <v>21.75</v>
      </c>
      <c r="L104" s="26">
        <v>29.5</v>
      </c>
      <c r="M104" s="26">
        <v>147</v>
      </c>
      <c r="N104" s="26">
        <v>20.5</v>
      </c>
      <c r="O104" s="26">
        <v>20.5</v>
      </c>
      <c r="P104" s="26">
        <v>88</v>
      </c>
    </row>
    <row r="105" spans="1:16" ht="15.75">
      <c r="A105" s="110" t="s">
        <v>155</v>
      </c>
      <c r="B105" s="26">
        <v>147</v>
      </c>
      <c r="C105" s="26">
        <v>153.5</v>
      </c>
      <c r="D105" s="26">
        <v>86.5</v>
      </c>
      <c r="E105" s="26"/>
      <c r="F105" s="26">
        <v>42.5</v>
      </c>
      <c r="G105" s="26">
        <v>14.75</v>
      </c>
      <c r="H105" s="26"/>
      <c r="I105" s="26">
        <v>28</v>
      </c>
      <c r="J105" s="26">
        <v>29.5</v>
      </c>
      <c r="K105" s="26">
        <v>21.75</v>
      </c>
      <c r="L105" s="26">
        <v>29.5</v>
      </c>
      <c r="M105" s="26">
        <v>147</v>
      </c>
      <c r="N105" s="26">
        <v>20.5</v>
      </c>
      <c r="O105" s="26">
        <v>20.5</v>
      </c>
      <c r="P105" s="26">
        <v>88</v>
      </c>
    </row>
    <row r="106" spans="1:16" ht="15.75">
      <c r="A106" s="109" t="s">
        <v>151</v>
      </c>
      <c r="B106" s="26">
        <v>147</v>
      </c>
      <c r="C106" s="26">
        <v>153.5</v>
      </c>
      <c r="D106" s="26">
        <v>86.5</v>
      </c>
      <c r="E106" s="26"/>
      <c r="F106" s="26">
        <v>42.5</v>
      </c>
      <c r="G106" s="26">
        <v>14.75</v>
      </c>
      <c r="H106" s="26"/>
      <c r="I106" s="26">
        <v>28</v>
      </c>
      <c r="J106" s="26">
        <v>29.5</v>
      </c>
      <c r="K106" s="26">
        <v>21.75</v>
      </c>
      <c r="L106" s="26">
        <v>29.5</v>
      </c>
      <c r="M106" s="26">
        <v>147</v>
      </c>
      <c r="N106" s="26">
        <v>20.5</v>
      </c>
      <c r="O106" s="26">
        <v>20.5</v>
      </c>
      <c r="P106" s="26">
        <v>88</v>
      </c>
    </row>
    <row r="107" spans="1:16" ht="15.75">
      <c r="A107" s="109" t="s">
        <v>275</v>
      </c>
      <c r="B107" s="26">
        <v>147</v>
      </c>
      <c r="C107" s="26">
        <v>153.5</v>
      </c>
      <c r="D107" s="26">
        <v>86.5</v>
      </c>
      <c r="E107" s="26"/>
      <c r="F107" s="26">
        <v>42.5</v>
      </c>
      <c r="G107" s="26">
        <v>14.75</v>
      </c>
      <c r="H107" s="26"/>
      <c r="I107" s="26">
        <v>28</v>
      </c>
      <c r="J107" s="26">
        <v>29.5</v>
      </c>
      <c r="K107" s="26">
        <v>21.75</v>
      </c>
      <c r="L107" s="26">
        <v>29.5</v>
      </c>
      <c r="M107" s="26">
        <v>147</v>
      </c>
      <c r="N107" s="26">
        <v>20.5</v>
      </c>
      <c r="O107" s="26">
        <v>20.5</v>
      </c>
      <c r="P107" s="26">
        <v>88</v>
      </c>
    </row>
    <row r="108" spans="1:16" ht="15.75">
      <c r="A108" s="111" t="s">
        <v>147</v>
      </c>
      <c r="B108" s="26">
        <v>147</v>
      </c>
      <c r="C108" s="26">
        <v>153.5</v>
      </c>
      <c r="D108" s="26">
        <v>86.5</v>
      </c>
      <c r="E108" s="26"/>
      <c r="F108" s="26">
        <v>42.5</v>
      </c>
      <c r="G108" s="26">
        <v>14.75</v>
      </c>
      <c r="H108" s="26"/>
      <c r="I108" s="26">
        <v>28</v>
      </c>
      <c r="J108" s="26">
        <v>29.5</v>
      </c>
      <c r="K108" s="26">
        <v>21.75</v>
      </c>
      <c r="L108" s="26">
        <v>29.5</v>
      </c>
      <c r="M108" s="26">
        <v>147</v>
      </c>
      <c r="N108" s="26">
        <v>20.5</v>
      </c>
      <c r="O108" s="26">
        <v>20.5</v>
      </c>
      <c r="P108" s="26">
        <v>88</v>
      </c>
    </row>
    <row r="109" spans="1:16" ht="15.75">
      <c r="A109" s="111" t="s">
        <v>152</v>
      </c>
      <c r="B109" s="26">
        <v>147</v>
      </c>
      <c r="C109" s="26">
        <v>153.5</v>
      </c>
      <c r="D109" s="26">
        <v>86.5</v>
      </c>
      <c r="E109" s="26"/>
      <c r="F109" s="26">
        <v>42.5</v>
      </c>
      <c r="G109" s="26">
        <v>14.75</v>
      </c>
      <c r="H109" s="26"/>
      <c r="I109" s="26">
        <v>28</v>
      </c>
      <c r="J109" s="26">
        <v>29.5</v>
      </c>
      <c r="K109" s="26">
        <v>21.75</v>
      </c>
      <c r="L109" s="26">
        <v>29.5</v>
      </c>
      <c r="M109" s="26">
        <v>147</v>
      </c>
      <c r="N109" s="26">
        <v>20.5</v>
      </c>
      <c r="O109" s="26">
        <v>20.5</v>
      </c>
      <c r="P109" s="26">
        <v>88</v>
      </c>
    </row>
    <row r="110" spans="1:16" ht="15.75">
      <c r="A110" s="111" t="s">
        <v>153</v>
      </c>
      <c r="B110" s="26">
        <v>147</v>
      </c>
      <c r="C110" s="26">
        <v>153.5</v>
      </c>
      <c r="D110" s="26">
        <v>86.5</v>
      </c>
      <c r="E110" s="26"/>
      <c r="F110" s="26">
        <v>42.5</v>
      </c>
      <c r="G110" s="26">
        <v>14.75</v>
      </c>
      <c r="H110" s="26"/>
      <c r="I110" s="26">
        <v>28</v>
      </c>
      <c r="J110" s="26">
        <v>29.5</v>
      </c>
      <c r="K110" s="26">
        <v>21.75</v>
      </c>
      <c r="L110" s="26">
        <v>29.5</v>
      </c>
      <c r="M110" s="26">
        <v>147</v>
      </c>
      <c r="N110" s="26">
        <v>20.5</v>
      </c>
      <c r="O110" s="26">
        <v>20.5</v>
      </c>
      <c r="P110" s="26">
        <v>88</v>
      </c>
    </row>
    <row r="111" spans="1:16" ht="15.75">
      <c r="A111" s="88" t="s">
        <v>154</v>
      </c>
      <c r="B111" s="26">
        <v>147</v>
      </c>
      <c r="C111" s="26">
        <v>153</v>
      </c>
      <c r="D111" s="26">
        <v>86.5</v>
      </c>
      <c r="E111" s="26"/>
      <c r="F111" s="26">
        <v>42.5</v>
      </c>
      <c r="G111" s="26">
        <v>14.75</v>
      </c>
      <c r="H111" s="26"/>
      <c r="I111" s="26">
        <v>28</v>
      </c>
      <c r="J111" s="26">
        <v>29.5</v>
      </c>
      <c r="K111" s="26">
        <v>21.75</v>
      </c>
      <c r="L111" s="26">
        <v>29.5</v>
      </c>
      <c r="M111" s="26">
        <v>147</v>
      </c>
      <c r="N111" s="26">
        <v>20.5</v>
      </c>
      <c r="O111" s="26">
        <v>20.5</v>
      </c>
      <c r="P111" s="26">
        <v>88</v>
      </c>
    </row>
    <row r="112" spans="1:16" ht="15.75">
      <c r="A112" s="112" t="s">
        <v>156</v>
      </c>
      <c r="B112" s="26">
        <v>150</v>
      </c>
      <c r="C112" s="26">
        <v>156.75</v>
      </c>
      <c r="D112" s="26">
        <v>88.25</v>
      </c>
      <c r="E112" s="26"/>
      <c r="F112" s="26">
        <v>43.25</v>
      </c>
      <c r="G112" s="26">
        <v>15</v>
      </c>
      <c r="H112" s="26"/>
      <c r="I112" s="26">
        <v>28.5</v>
      </c>
      <c r="J112" s="26">
        <v>30</v>
      </c>
      <c r="K112" s="26">
        <v>22.25</v>
      </c>
      <c r="L112" s="26">
        <v>30</v>
      </c>
      <c r="M112" s="26">
        <v>150</v>
      </c>
      <c r="N112" s="26">
        <v>21</v>
      </c>
      <c r="O112" s="26">
        <v>21</v>
      </c>
      <c r="P112" s="26">
        <v>89.75</v>
      </c>
    </row>
    <row r="113" spans="1:16" ht="15.75">
      <c r="A113" s="112" t="s">
        <v>159</v>
      </c>
      <c r="B113" s="26">
        <v>150</v>
      </c>
      <c r="C113" s="26">
        <v>156.75</v>
      </c>
      <c r="D113" s="26">
        <v>88.25</v>
      </c>
      <c r="E113" s="26"/>
      <c r="F113" s="26">
        <v>43.25</v>
      </c>
      <c r="G113" s="26">
        <v>15</v>
      </c>
      <c r="H113" s="26"/>
      <c r="I113" s="26">
        <v>28.5</v>
      </c>
      <c r="J113" s="26">
        <v>30</v>
      </c>
      <c r="K113" s="26">
        <v>22.25</v>
      </c>
      <c r="L113" s="26">
        <v>30</v>
      </c>
      <c r="M113" s="26">
        <v>150</v>
      </c>
      <c r="N113" s="26">
        <v>21</v>
      </c>
      <c r="O113" s="26">
        <v>21</v>
      </c>
      <c r="P113" s="26">
        <v>89.75</v>
      </c>
    </row>
    <row r="114" spans="1:16" ht="15.75">
      <c r="A114" s="89" t="s">
        <v>279</v>
      </c>
      <c r="B114" s="26">
        <v>153.75</v>
      </c>
      <c r="C114" s="26">
        <v>160.75</v>
      </c>
      <c r="D114" s="26">
        <v>90.5</v>
      </c>
      <c r="E114" s="26"/>
      <c r="F114" s="26">
        <v>44.25</v>
      </c>
      <c r="G114" s="26">
        <v>15.5</v>
      </c>
      <c r="H114" s="26"/>
      <c r="I114" s="26">
        <v>29.25</v>
      </c>
      <c r="J114" s="26">
        <v>30.75</v>
      </c>
      <c r="K114" s="26">
        <v>22.75</v>
      </c>
      <c r="L114" s="26">
        <v>30.75</v>
      </c>
      <c r="M114" s="26">
        <v>153.75</v>
      </c>
      <c r="N114" s="26">
        <v>21.5</v>
      </c>
      <c r="O114" s="26">
        <v>21.5</v>
      </c>
      <c r="P114" s="26">
        <v>92</v>
      </c>
    </row>
    <row r="115" spans="1:16" ht="15.75">
      <c r="A115" s="112" t="s">
        <v>280</v>
      </c>
      <c r="B115" s="26">
        <v>153.75</v>
      </c>
      <c r="C115" s="26">
        <v>160.75</v>
      </c>
      <c r="D115" s="26">
        <v>90.5</v>
      </c>
      <c r="E115" s="26"/>
      <c r="F115" s="26">
        <v>44.25</v>
      </c>
      <c r="G115" s="26">
        <v>15.5</v>
      </c>
      <c r="H115" s="26"/>
      <c r="I115" s="26">
        <v>29.25</v>
      </c>
      <c r="J115" s="26">
        <v>30.75</v>
      </c>
      <c r="K115" s="26">
        <v>22.75</v>
      </c>
      <c r="L115" s="26">
        <v>30.75</v>
      </c>
      <c r="M115" s="26">
        <v>153.75</v>
      </c>
      <c r="N115" s="26">
        <v>21.5</v>
      </c>
      <c r="O115" s="26">
        <v>21.5</v>
      </c>
      <c r="P115" s="26">
        <v>92</v>
      </c>
    </row>
    <row r="116" spans="1:16" ht="15.75">
      <c r="A116" s="112" t="s">
        <v>281</v>
      </c>
      <c r="B116" s="26">
        <v>153.75</v>
      </c>
      <c r="C116" s="26">
        <v>160.75</v>
      </c>
      <c r="D116" s="26">
        <v>90.5</v>
      </c>
      <c r="E116" s="26"/>
      <c r="F116" s="26">
        <v>44.25</v>
      </c>
      <c r="G116" s="26">
        <v>15.5</v>
      </c>
      <c r="H116" s="26"/>
      <c r="I116" s="26">
        <v>29.25</v>
      </c>
      <c r="J116" s="26">
        <v>30.75</v>
      </c>
      <c r="K116" s="26">
        <v>22.75</v>
      </c>
      <c r="L116" s="26">
        <v>30.75</v>
      </c>
      <c r="M116" s="26">
        <v>153.75</v>
      </c>
      <c r="N116" s="26">
        <v>21.5</v>
      </c>
      <c r="O116" s="26">
        <v>21.5</v>
      </c>
      <c r="P116" s="26">
        <v>92</v>
      </c>
    </row>
    <row r="117" spans="1:16" ht="15.75">
      <c r="A117" s="112" t="s">
        <v>282</v>
      </c>
      <c r="B117" s="26">
        <v>153.75</v>
      </c>
      <c r="C117" s="26">
        <v>160.75</v>
      </c>
      <c r="D117" s="26">
        <v>90.5</v>
      </c>
      <c r="E117" s="26"/>
      <c r="F117" s="26">
        <v>44.25</v>
      </c>
      <c r="G117" s="26">
        <v>15.5</v>
      </c>
      <c r="H117" s="26"/>
      <c r="I117" s="26">
        <v>29.25</v>
      </c>
      <c r="J117" s="26">
        <v>30.75</v>
      </c>
      <c r="K117" s="26">
        <v>22.75</v>
      </c>
      <c r="L117" s="26">
        <v>30.75</v>
      </c>
      <c r="M117" s="26">
        <v>153.75</v>
      </c>
      <c r="N117" s="26">
        <v>21.5</v>
      </c>
      <c r="O117" s="26">
        <v>21.5</v>
      </c>
      <c r="P117" s="26">
        <v>92</v>
      </c>
    </row>
    <row r="118" spans="1:16" ht="15.75">
      <c r="A118" s="112" t="s">
        <v>283</v>
      </c>
      <c r="B118" s="26">
        <v>153.75</v>
      </c>
      <c r="C118" s="26">
        <v>160.75</v>
      </c>
      <c r="D118" s="26">
        <v>90.5</v>
      </c>
      <c r="E118" s="26"/>
      <c r="F118" s="26">
        <v>44.25</v>
      </c>
      <c r="G118" s="26">
        <v>15.5</v>
      </c>
      <c r="H118" s="26"/>
      <c r="I118" s="26">
        <v>29.25</v>
      </c>
      <c r="J118" s="26">
        <v>30.75</v>
      </c>
      <c r="K118" s="26">
        <v>22.75</v>
      </c>
      <c r="L118" s="26">
        <v>30.75</v>
      </c>
      <c r="M118" s="26">
        <v>153.75</v>
      </c>
      <c r="N118" s="26">
        <v>21.5</v>
      </c>
      <c r="O118" s="26">
        <v>21.5</v>
      </c>
      <c r="P118" s="26">
        <v>92</v>
      </c>
    </row>
    <row r="119" spans="1:16" ht="15.75">
      <c r="A119" s="112" t="s">
        <v>284</v>
      </c>
      <c r="B119" s="26">
        <v>157.25</v>
      </c>
      <c r="C119" s="26">
        <v>164.5</v>
      </c>
      <c r="D119" s="26">
        <v>92.5</v>
      </c>
      <c r="E119" s="26"/>
      <c r="F119" s="26">
        <v>45.25</v>
      </c>
      <c r="G119" s="26">
        <v>15.75</v>
      </c>
      <c r="H119" s="26"/>
      <c r="I119" s="26">
        <v>30</v>
      </c>
      <c r="J119" s="26">
        <v>31.5</v>
      </c>
      <c r="K119" s="26">
        <v>23.25</v>
      </c>
      <c r="L119" s="26">
        <v>31.5</v>
      </c>
      <c r="M119" s="26">
        <v>157.25</v>
      </c>
      <c r="N119" s="26">
        <v>22</v>
      </c>
      <c r="O119" s="26">
        <v>22</v>
      </c>
      <c r="P119" s="26">
        <v>94</v>
      </c>
    </row>
    <row r="120" spans="1:16" ht="15.75">
      <c r="A120" s="112" t="s">
        <v>285</v>
      </c>
      <c r="B120" s="26">
        <v>157.25</v>
      </c>
      <c r="C120" s="26">
        <v>164.5</v>
      </c>
      <c r="D120" s="26">
        <v>92.5</v>
      </c>
      <c r="E120" s="26"/>
      <c r="F120" s="26">
        <v>45.25</v>
      </c>
      <c r="G120" s="26">
        <v>15.75</v>
      </c>
      <c r="H120" s="26"/>
      <c r="I120" s="26">
        <v>30</v>
      </c>
      <c r="J120" s="26">
        <v>31.5</v>
      </c>
      <c r="K120" s="26">
        <v>23.25</v>
      </c>
      <c r="L120" s="26">
        <v>31.5</v>
      </c>
      <c r="M120" s="26">
        <v>157.25</v>
      </c>
      <c r="N120" s="26">
        <v>22</v>
      </c>
      <c r="O120" s="26">
        <v>22</v>
      </c>
      <c r="P120" s="26">
        <v>94</v>
      </c>
    </row>
    <row r="121" spans="1:16" ht="15.75">
      <c r="A121" s="112" t="s">
        <v>286</v>
      </c>
      <c r="B121" s="26">
        <v>157.25</v>
      </c>
      <c r="C121" s="26">
        <v>164.5</v>
      </c>
      <c r="D121" s="26">
        <v>92.5</v>
      </c>
      <c r="E121" s="26"/>
      <c r="F121" s="26">
        <v>45.25</v>
      </c>
      <c r="G121" s="26">
        <v>15.75</v>
      </c>
      <c r="H121" s="26"/>
      <c r="I121" s="26">
        <v>30</v>
      </c>
      <c r="J121" s="26">
        <v>31.5</v>
      </c>
      <c r="K121" s="26">
        <v>23.25</v>
      </c>
      <c r="L121" s="26">
        <v>31.5</v>
      </c>
      <c r="M121" s="26">
        <v>157.25</v>
      </c>
      <c r="N121" s="26">
        <v>22</v>
      </c>
      <c r="O121" s="26">
        <v>22</v>
      </c>
      <c r="P121" s="26">
        <v>94</v>
      </c>
    </row>
    <row r="122" spans="1:16" ht="15.75">
      <c r="A122" s="112" t="s">
        <v>287</v>
      </c>
      <c r="B122" s="26">
        <v>157.25</v>
      </c>
      <c r="C122" s="26">
        <v>164.5</v>
      </c>
      <c r="D122" s="26">
        <v>92.5</v>
      </c>
      <c r="E122" s="26">
        <v>92.5</v>
      </c>
      <c r="F122" s="26">
        <v>45.25</v>
      </c>
      <c r="G122" s="26">
        <v>15.75</v>
      </c>
      <c r="H122" s="26"/>
      <c r="I122" s="26">
        <v>30</v>
      </c>
      <c r="J122" s="26">
        <v>31.5</v>
      </c>
      <c r="K122" s="26">
        <v>23.25</v>
      </c>
      <c r="L122" s="26">
        <v>31.5</v>
      </c>
      <c r="M122" s="26">
        <v>157.25</v>
      </c>
      <c r="N122" s="26">
        <v>22</v>
      </c>
      <c r="O122" s="26">
        <v>22</v>
      </c>
      <c r="P122" s="26">
        <v>94</v>
      </c>
    </row>
    <row r="123" spans="1:16" ht="15.75">
      <c r="A123" s="112" t="s">
        <v>288</v>
      </c>
      <c r="B123" s="26">
        <v>162</v>
      </c>
      <c r="C123" s="26">
        <v>169.5</v>
      </c>
      <c r="D123" s="26">
        <v>95.25</v>
      </c>
      <c r="E123" s="26">
        <v>95.25</v>
      </c>
      <c r="F123" s="26">
        <v>46.5</v>
      </c>
      <c r="G123" s="26">
        <v>16.25</v>
      </c>
      <c r="H123" s="26"/>
      <c r="I123" s="26">
        <v>31</v>
      </c>
      <c r="J123" s="26">
        <v>32.5</v>
      </c>
      <c r="K123" s="26">
        <v>24</v>
      </c>
      <c r="L123" s="26">
        <v>32.5</v>
      </c>
      <c r="M123" s="26">
        <v>162</v>
      </c>
      <c r="N123" s="26">
        <v>22.75</v>
      </c>
      <c r="O123" s="26">
        <v>22.75</v>
      </c>
      <c r="P123" s="26">
        <v>96.75</v>
      </c>
    </row>
    <row r="124" spans="1:16" ht="15.75">
      <c r="A124" s="113" t="s">
        <v>289</v>
      </c>
      <c r="B124" s="28">
        <v>162</v>
      </c>
      <c r="C124" s="28">
        <v>169</v>
      </c>
      <c r="D124" s="27">
        <v>95.25</v>
      </c>
      <c r="E124" s="27">
        <v>95.25</v>
      </c>
      <c r="F124" s="27">
        <v>46.5</v>
      </c>
      <c r="G124" s="27">
        <v>16.25</v>
      </c>
      <c r="H124" s="27"/>
      <c r="I124" s="27">
        <v>31</v>
      </c>
      <c r="J124" s="27">
        <v>32.5</v>
      </c>
      <c r="K124" s="27">
        <v>24</v>
      </c>
      <c r="L124" s="27">
        <v>32.5</v>
      </c>
      <c r="M124" s="27">
        <v>162</v>
      </c>
      <c r="N124" s="27">
        <v>22.75</v>
      </c>
      <c r="O124" s="27">
        <v>22.75</v>
      </c>
      <c r="P124" s="27">
        <v>96.75</v>
      </c>
    </row>
    <row r="125" spans="1:16" ht="15.75">
      <c r="A125" s="112" t="s">
        <v>290</v>
      </c>
      <c r="B125" s="26">
        <v>162</v>
      </c>
      <c r="C125" s="26">
        <v>168.5</v>
      </c>
      <c r="D125" s="26">
        <v>95.25</v>
      </c>
      <c r="E125" s="26">
        <v>95.25</v>
      </c>
      <c r="F125" s="26">
        <v>46.5</v>
      </c>
      <c r="G125" s="26">
        <v>16.25</v>
      </c>
      <c r="H125" s="26"/>
      <c r="I125" s="26">
        <v>31</v>
      </c>
      <c r="J125" s="26">
        <v>32.5</v>
      </c>
      <c r="K125" s="26">
        <v>24</v>
      </c>
      <c r="L125" s="26">
        <v>32.5</v>
      </c>
      <c r="M125" s="26">
        <v>162</v>
      </c>
      <c r="N125" s="26">
        <v>22.75</v>
      </c>
      <c r="O125" s="26">
        <v>22.75</v>
      </c>
      <c r="P125" s="26">
        <v>96.75</v>
      </c>
    </row>
    <row r="126" spans="1:16" ht="15.75">
      <c r="A126" s="112" t="s">
        <v>291</v>
      </c>
      <c r="B126" s="26">
        <v>165.75</v>
      </c>
      <c r="C126" s="26">
        <v>173.25</v>
      </c>
      <c r="D126" s="26">
        <v>97.5</v>
      </c>
      <c r="E126" s="26">
        <v>97.5</v>
      </c>
      <c r="F126" s="26">
        <v>47.5</v>
      </c>
      <c r="G126" s="26">
        <v>16.5</v>
      </c>
      <c r="H126" s="26"/>
      <c r="I126" s="26">
        <v>31.75</v>
      </c>
      <c r="J126" s="26">
        <v>33.25</v>
      </c>
      <c r="K126" s="26">
        <v>24.5</v>
      </c>
      <c r="L126" s="26">
        <v>33.25</v>
      </c>
      <c r="M126" s="26">
        <v>165.75</v>
      </c>
      <c r="N126" s="26">
        <v>23.25</v>
      </c>
      <c r="O126" s="26">
        <v>23.25</v>
      </c>
      <c r="P126" s="26">
        <v>99</v>
      </c>
    </row>
    <row r="127" spans="1:16" ht="15.75">
      <c r="A127" s="112" t="s">
        <v>292</v>
      </c>
      <c r="B127" s="26">
        <v>165.75</v>
      </c>
      <c r="C127" s="26">
        <v>173.25</v>
      </c>
      <c r="D127" s="26">
        <v>97.5</v>
      </c>
      <c r="E127" s="26">
        <v>97.5</v>
      </c>
      <c r="F127" s="26">
        <v>47.5</v>
      </c>
      <c r="G127" s="26">
        <v>16.5</v>
      </c>
      <c r="H127" s="26"/>
      <c r="I127" s="26">
        <v>31.75</v>
      </c>
      <c r="J127" s="26">
        <v>33.25</v>
      </c>
      <c r="K127" s="26">
        <v>24.5</v>
      </c>
      <c r="L127" s="26">
        <v>33.25</v>
      </c>
      <c r="M127" s="26">
        <v>165.75</v>
      </c>
      <c r="N127" s="26">
        <v>23.25</v>
      </c>
      <c r="O127" s="26">
        <v>23.25</v>
      </c>
      <c r="P127" s="26">
        <v>99</v>
      </c>
    </row>
    <row r="128" spans="1:16" ht="15.75">
      <c r="A128" s="112" t="s">
        <v>293</v>
      </c>
      <c r="B128" s="26">
        <v>165.75</v>
      </c>
      <c r="C128" s="26">
        <v>173.25</v>
      </c>
      <c r="D128" s="26">
        <v>97.5</v>
      </c>
      <c r="E128" s="26">
        <v>97.5</v>
      </c>
      <c r="F128" s="26">
        <v>47.5</v>
      </c>
      <c r="G128" s="26">
        <v>16.5</v>
      </c>
      <c r="H128" s="26"/>
      <c r="I128" s="26">
        <v>31.75</v>
      </c>
      <c r="J128" s="26">
        <v>33.25</v>
      </c>
      <c r="K128" s="26">
        <v>24.5</v>
      </c>
      <c r="L128" s="26">
        <v>33.25</v>
      </c>
      <c r="M128" s="26">
        <v>165.75</v>
      </c>
      <c r="N128" s="26">
        <v>23.25</v>
      </c>
      <c r="O128" s="26">
        <v>23.25</v>
      </c>
      <c r="P128" s="26">
        <v>99</v>
      </c>
    </row>
    <row r="129" spans="1:16" ht="15.75">
      <c r="A129" s="112" t="s">
        <v>294</v>
      </c>
      <c r="B129" s="26">
        <v>165.75</v>
      </c>
      <c r="C129" s="26">
        <v>173.25</v>
      </c>
      <c r="D129" s="26">
        <v>97.5</v>
      </c>
      <c r="E129" s="26">
        <v>97.5</v>
      </c>
      <c r="F129" s="26">
        <v>47.5</v>
      </c>
      <c r="G129" s="26">
        <v>16.5</v>
      </c>
      <c r="H129" s="26"/>
      <c r="I129" s="26">
        <v>31.75</v>
      </c>
      <c r="J129" s="26">
        <v>33.25</v>
      </c>
      <c r="K129" s="26">
        <v>24.5</v>
      </c>
      <c r="L129" s="26">
        <v>33.25</v>
      </c>
      <c r="M129" s="26">
        <v>165.75</v>
      </c>
      <c r="N129" s="26">
        <v>23.25</v>
      </c>
      <c r="O129" s="26">
        <v>23.25</v>
      </c>
      <c r="P129" s="26">
        <v>99</v>
      </c>
    </row>
    <row r="130" spans="1:16" ht="15.75">
      <c r="A130" s="112" t="s">
        <v>295</v>
      </c>
      <c r="B130" s="26">
        <v>170.75</v>
      </c>
      <c r="C130" s="26">
        <v>178.5</v>
      </c>
      <c r="D130" s="26">
        <v>100.5</v>
      </c>
      <c r="E130" s="26">
        <v>100.5</v>
      </c>
      <c r="F130" s="26">
        <v>49</v>
      </c>
      <c r="G130" s="26">
        <v>17</v>
      </c>
      <c r="H130" s="26"/>
      <c r="I130" s="26">
        <v>32.75</v>
      </c>
      <c r="J130" s="26">
        <v>34.25</v>
      </c>
      <c r="K130" s="26">
        <v>25.25</v>
      </c>
      <c r="L130" s="26">
        <v>34.25</v>
      </c>
      <c r="M130" s="26">
        <v>170.75</v>
      </c>
      <c r="N130" s="26">
        <v>24</v>
      </c>
      <c r="O130" s="26">
        <v>24</v>
      </c>
      <c r="P130" s="26">
        <v>102</v>
      </c>
    </row>
    <row r="131" spans="1:16" ht="15.75">
      <c r="A131" s="112" t="s">
        <v>296</v>
      </c>
      <c r="B131" s="26">
        <v>170.75</v>
      </c>
      <c r="C131" s="26">
        <v>178.5</v>
      </c>
      <c r="D131" s="26">
        <v>100.5</v>
      </c>
      <c r="E131" s="26">
        <v>100.5</v>
      </c>
      <c r="F131" s="26">
        <v>49</v>
      </c>
      <c r="G131" s="26">
        <v>17</v>
      </c>
      <c r="H131" s="26"/>
      <c r="I131" s="26">
        <v>32.75</v>
      </c>
      <c r="J131" s="26">
        <v>34.25</v>
      </c>
      <c r="K131" s="26">
        <v>25.25</v>
      </c>
      <c r="L131" s="26">
        <v>34.25</v>
      </c>
      <c r="M131" s="26">
        <v>170.75</v>
      </c>
      <c r="N131" s="26">
        <v>24</v>
      </c>
      <c r="O131" s="26">
        <v>24</v>
      </c>
      <c r="P131" s="26">
        <v>102</v>
      </c>
    </row>
    <row r="132" spans="1:16" ht="15.75">
      <c r="A132" s="112" t="s">
        <v>297</v>
      </c>
      <c r="B132" s="26">
        <v>170.75</v>
      </c>
      <c r="C132" s="26">
        <v>178.5</v>
      </c>
      <c r="D132" s="26">
        <v>100.5</v>
      </c>
      <c r="E132" s="26">
        <v>100.5</v>
      </c>
      <c r="F132" s="26">
        <v>49</v>
      </c>
      <c r="G132" s="26">
        <v>17</v>
      </c>
      <c r="H132" s="26"/>
      <c r="I132" s="26">
        <v>32.75</v>
      </c>
      <c r="J132" s="26">
        <v>34.25</v>
      </c>
      <c r="K132" s="26">
        <v>25.25</v>
      </c>
      <c r="L132" s="26">
        <v>34.25</v>
      </c>
      <c r="M132" s="26">
        <v>170.75</v>
      </c>
      <c r="N132" s="26">
        <v>24</v>
      </c>
      <c r="O132" s="26">
        <v>24</v>
      </c>
      <c r="P132" s="26">
        <v>102</v>
      </c>
    </row>
    <row r="133" spans="1:16" ht="15.75">
      <c r="A133" s="114" t="s">
        <v>298</v>
      </c>
      <c r="B133" s="26">
        <v>170.75</v>
      </c>
      <c r="C133" s="26">
        <v>178.5</v>
      </c>
      <c r="D133" s="26">
        <v>100.5</v>
      </c>
      <c r="E133" s="26">
        <v>100.5</v>
      </c>
      <c r="F133" s="26">
        <v>49</v>
      </c>
      <c r="G133" s="26">
        <v>17</v>
      </c>
      <c r="H133" s="26"/>
      <c r="I133" s="26">
        <v>32.75</v>
      </c>
      <c r="J133" s="26">
        <v>34.25</v>
      </c>
      <c r="K133" s="26">
        <v>25.25</v>
      </c>
      <c r="L133" s="26">
        <v>34.25</v>
      </c>
      <c r="M133" s="26">
        <v>170.75</v>
      </c>
      <c r="N133" s="26">
        <v>24</v>
      </c>
      <c r="O133" s="26">
        <v>24</v>
      </c>
      <c r="P133" s="26">
        <v>102</v>
      </c>
    </row>
    <row r="134" spans="1:16" ht="15.75">
      <c r="A134" s="94" t="s">
        <v>299</v>
      </c>
      <c r="B134" s="26">
        <v>175.75</v>
      </c>
      <c r="C134" s="26">
        <v>183.75</v>
      </c>
      <c r="D134" s="26">
        <v>103.5</v>
      </c>
      <c r="E134" s="26">
        <v>103.5</v>
      </c>
      <c r="F134" s="26">
        <v>50.5</v>
      </c>
      <c r="G134" s="26">
        <v>17.5</v>
      </c>
      <c r="H134" s="26"/>
      <c r="I134" s="26">
        <v>33.75</v>
      </c>
      <c r="J134" s="26">
        <v>35.25</v>
      </c>
      <c r="K134" s="26">
        <v>26</v>
      </c>
      <c r="L134" s="26">
        <v>35.25</v>
      </c>
      <c r="M134" s="26">
        <v>175.75</v>
      </c>
      <c r="N134" s="26">
        <v>24.75</v>
      </c>
      <c r="O134" s="26">
        <v>24.75</v>
      </c>
      <c r="P134" s="26">
        <v>105</v>
      </c>
    </row>
    <row r="135" spans="1:16" ht="15.75">
      <c r="A135" s="94" t="s">
        <v>300</v>
      </c>
      <c r="B135" s="26">
        <v>175.75</v>
      </c>
      <c r="C135" s="26">
        <v>183.75</v>
      </c>
      <c r="D135" s="26">
        <v>103.5</v>
      </c>
      <c r="E135" s="26">
        <v>103.5</v>
      </c>
      <c r="F135" s="26">
        <v>50.5</v>
      </c>
      <c r="G135" s="26">
        <v>17.5</v>
      </c>
      <c r="H135" s="26"/>
      <c r="I135" s="26">
        <v>33.75</v>
      </c>
      <c r="J135" s="26">
        <v>35.25</v>
      </c>
      <c r="K135" s="26">
        <v>26</v>
      </c>
      <c r="L135" s="26">
        <v>35.25</v>
      </c>
      <c r="M135" s="26">
        <v>175.75</v>
      </c>
      <c r="N135" s="26">
        <v>24.75</v>
      </c>
      <c r="O135" s="26">
        <v>24.75</v>
      </c>
      <c r="P135" s="26">
        <v>105</v>
      </c>
    </row>
    <row r="136" spans="1:16" ht="15.75">
      <c r="A136" s="94" t="s">
        <v>301</v>
      </c>
      <c r="B136" s="26">
        <v>175.75</v>
      </c>
      <c r="C136" s="26">
        <v>183.75</v>
      </c>
      <c r="D136" s="26">
        <v>103.5</v>
      </c>
      <c r="E136" s="26">
        <v>103.5</v>
      </c>
      <c r="F136" s="26">
        <v>50.5</v>
      </c>
      <c r="G136" s="26">
        <v>17.5</v>
      </c>
      <c r="H136" s="26"/>
      <c r="I136" s="26">
        <v>33.75</v>
      </c>
      <c r="J136" s="26">
        <v>35.25</v>
      </c>
      <c r="K136" s="26">
        <v>26</v>
      </c>
      <c r="L136" s="26">
        <v>35.25</v>
      </c>
      <c r="M136" s="26">
        <v>175.75</v>
      </c>
      <c r="N136" s="26">
        <v>24.75</v>
      </c>
      <c r="O136" s="26">
        <v>24.75</v>
      </c>
      <c r="P136" s="26">
        <v>105</v>
      </c>
    </row>
    <row r="137" spans="1:16" ht="15.75">
      <c r="A137" s="94" t="s">
        <v>302</v>
      </c>
      <c r="B137" s="26">
        <v>175.75</v>
      </c>
      <c r="C137" s="26">
        <v>183.75</v>
      </c>
      <c r="D137" s="26">
        <v>103.5</v>
      </c>
      <c r="E137" s="26">
        <v>103.5</v>
      </c>
      <c r="F137" s="26">
        <v>50.5</v>
      </c>
      <c r="G137" s="26">
        <v>17.5</v>
      </c>
      <c r="H137" s="26"/>
      <c r="I137" s="26">
        <v>33.75</v>
      </c>
      <c r="J137" s="26">
        <v>35.25</v>
      </c>
      <c r="K137" s="26">
        <v>26</v>
      </c>
      <c r="L137" s="26">
        <v>35.25</v>
      </c>
      <c r="M137" s="26">
        <v>175.75</v>
      </c>
      <c r="N137" s="26">
        <v>24.75</v>
      </c>
      <c r="O137" s="26">
        <v>24.75</v>
      </c>
      <c r="P137" s="26">
        <v>105</v>
      </c>
    </row>
    <row r="138" spans="1:16" ht="15.75">
      <c r="A138" s="94" t="s">
        <v>303</v>
      </c>
      <c r="B138" s="26">
        <v>175.75</v>
      </c>
      <c r="C138" s="26">
        <v>183.75</v>
      </c>
      <c r="D138" s="26">
        <v>103.5</v>
      </c>
      <c r="E138" s="26">
        <v>103.5</v>
      </c>
      <c r="F138" s="26">
        <v>50.5</v>
      </c>
      <c r="G138" s="26">
        <v>17.5</v>
      </c>
      <c r="H138" s="26"/>
      <c r="I138" s="26">
        <v>33.75</v>
      </c>
      <c r="J138" s="26">
        <v>35.25</v>
      </c>
      <c r="K138" s="26">
        <v>26</v>
      </c>
      <c r="L138" s="26">
        <v>35.25</v>
      </c>
      <c r="M138" s="26">
        <v>175.75</v>
      </c>
      <c r="N138" s="26">
        <v>24.75</v>
      </c>
      <c r="O138" s="26">
        <v>24.75</v>
      </c>
      <c r="P138" s="26">
        <v>105</v>
      </c>
    </row>
    <row r="139" spans="1:16" ht="15.75">
      <c r="A139" s="94" t="s">
        <v>304</v>
      </c>
      <c r="B139" s="26">
        <v>179</v>
      </c>
      <c r="C139" s="26">
        <v>187.25</v>
      </c>
      <c r="D139" s="26">
        <v>105.5</v>
      </c>
      <c r="E139" s="26">
        <v>105.5</v>
      </c>
      <c r="F139" s="26">
        <v>51.5</v>
      </c>
      <c r="G139" s="26">
        <v>17.75</v>
      </c>
      <c r="H139" s="26"/>
      <c r="I139" s="26">
        <v>34.5</v>
      </c>
      <c r="J139" s="26">
        <v>36</v>
      </c>
      <c r="K139" s="26">
        <v>26.5</v>
      </c>
      <c r="L139" s="26">
        <v>36</v>
      </c>
      <c r="M139" s="26">
        <v>179</v>
      </c>
      <c r="N139" s="26">
        <v>25.25</v>
      </c>
      <c r="O139" s="26">
        <v>25.25</v>
      </c>
      <c r="P139" s="26">
        <v>107</v>
      </c>
    </row>
    <row r="140" spans="1:16" ht="15.75">
      <c r="A140" s="94" t="s">
        <v>305</v>
      </c>
      <c r="B140" s="26">
        <v>179</v>
      </c>
      <c r="C140" s="26">
        <v>187.25</v>
      </c>
      <c r="D140" s="26">
        <v>105.5</v>
      </c>
      <c r="E140" s="26">
        <v>105.5</v>
      </c>
      <c r="F140" s="26">
        <v>51.5</v>
      </c>
      <c r="G140" s="26">
        <v>17.75</v>
      </c>
      <c r="H140" s="26"/>
      <c r="I140" s="26">
        <v>34.5</v>
      </c>
      <c r="J140" s="26">
        <v>36</v>
      </c>
      <c r="K140" s="26">
        <v>26.5</v>
      </c>
      <c r="L140" s="26">
        <v>36</v>
      </c>
      <c r="M140" s="26">
        <v>179</v>
      </c>
      <c r="N140" s="26">
        <v>25.25</v>
      </c>
      <c r="O140" s="26">
        <v>25.25</v>
      </c>
      <c r="P140" s="26">
        <v>107</v>
      </c>
    </row>
    <row r="141" spans="1:16" ht="15.75">
      <c r="A141" s="94" t="s">
        <v>306</v>
      </c>
      <c r="B141" s="26">
        <v>179</v>
      </c>
      <c r="C141" s="26">
        <v>187.25</v>
      </c>
      <c r="D141" s="26">
        <v>105.5</v>
      </c>
      <c r="E141" s="26">
        <v>105.5</v>
      </c>
      <c r="F141" s="26">
        <v>51.5</v>
      </c>
      <c r="G141" s="26">
        <v>17.75</v>
      </c>
      <c r="H141" s="26"/>
      <c r="I141" s="26">
        <v>34.5</v>
      </c>
      <c r="J141" s="26">
        <v>36</v>
      </c>
      <c r="K141" s="26">
        <v>26.5</v>
      </c>
      <c r="L141" s="26">
        <v>36</v>
      </c>
      <c r="M141" s="26">
        <v>179</v>
      </c>
      <c r="N141" s="26">
        <v>25.25</v>
      </c>
      <c r="O141" s="26">
        <v>25.25</v>
      </c>
      <c r="P141" s="26">
        <v>107</v>
      </c>
    </row>
    <row r="142" spans="1:16" ht="15.75">
      <c r="A142" s="94" t="s">
        <v>307</v>
      </c>
      <c r="B142" s="26">
        <v>180.5</v>
      </c>
      <c r="C142" s="26">
        <v>188.75</v>
      </c>
      <c r="D142" s="26">
        <v>106.5</v>
      </c>
      <c r="E142" s="26">
        <v>106.5</v>
      </c>
      <c r="F142" s="26">
        <v>52</v>
      </c>
      <c r="G142" s="26">
        <v>18</v>
      </c>
      <c r="H142" s="26"/>
      <c r="I142" s="26">
        <v>34.75</v>
      </c>
      <c r="J142" s="26">
        <v>36.25</v>
      </c>
      <c r="K142" s="26">
        <v>26.75</v>
      </c>
      <c r="L142" s="26">
        <v>36.25</v>
      </c>
      <c r="M142" s="26">
        <v>180.5</v>
      </c>
      <c r="N142" s="26">
        <v>25.5</v>
      </c>
      <c r="O142" s="26">
        <v>25.5</v>
      </c>
      <c r="P142" s="26">
        <v>108</v>
      </c>
    </row>
    <row r="143" spans="1:16" ht="15.75">
      <c r="A143" s="94" t="s">
        <v>308</v>
      </c>
      <c r="B143" s="45">
        <v>180.5</v>
      </c>
      <c r="C143" s="45">
        <v>188.75</v>
      </c>
      <c r="D143" s="45">
        <v>106.5</v>
      </c>
      <c r="E143" s="45">
        <v>106.5</v>
      </c>
      <c r="F143" s="45">
        <v>52</v>
      </c>
      <c r="G143" s="45">
        <v>18</v>
      </c>
      <c r="H143" s="45"/>
      <c r="I143" s="45">
        <v>34.75</v>
      </c>
      <c r="J143" s="45">
        <v>36.25</v>
      </c>
      <c r="K143" s="45">
        <v>26.75</v>
      </c>
      <c r="L143" s="45">
        <v>36.25</v>
      </c>
      <c r="M143" s="45">
        <v>180.5</v>
      </c>
      <c r="N143" s="45">
        <v>25.5</v>
      </c>
      <c r="O143" s="45">
        <v>25.5</v>
      </c>
      <c r="P143" s="45">
        <v>108</v>
      </c>
    </row>
    <row r="144" spans="1:16" ht="15.75">
      <c r="A144" s="94" t="s">
        <v>320</v>
      </c>
      <c r="B144" s="45">
        <v>180.5</v>
      </c>
      <c r="C144" s="45">
        <v>188.75</v>
      </c>
      <c r="D144" s="45">
        <v>106.5</v>
      </c>
      <c r="E144" s="45">
        <v>106.5</v>
      </c>
      <c r="F144" s="45">
        <v>52</v>
      </c>
      <c r="G144" s="45">
        <v>18</v>
      </c>
      <c r="H144" s="45"/>
      <c r="I144" s="45">
        <v>34.75</v>
      </c>
      <c r="J144" s="45">
        <v>36.25</v>
      </c>
      <c r="K144" s="45">
        <v>26.75</v>
      </c>
      <c r="L144" s="45">
        <v>36.25</v>
      </c>
      <c r="M144" s="45">
        <v>180.5</v>
      </c>
      <c r="N144" s="45">
        <v>25.5</v>
      </c>
      <c r="O144" s="45">
        <v>25.5</v>
      </c>
      <c r="P144" s="45">
        <v>108</v>
      </c>
    </row>
    <row r="145" spans="1:16" ht="15.75">
      <c r="A145" s="94" t="s">
        <v>321</v>
      </c>
      <c r="B145" s="45">
        <v>181.25</v>
      </c>
      <c r="C145" s="45">
        <v>189.5</v>
      </c>
      <c r="D145" s="45">
        <v>107</v>
      </c>
      <c r="E145" s="45">
        <v>107</v>
      </c>
      <c r="F145" s="45">
        <v>52.25</v>
      </c>
      <c r="G145" s="45">
        <v>18</v>
      </c>
      <c r="H145" s="45"/>
      <c r="I145" s="45">
        <v>35</v>
      </c>
      <c r="J145" s="45">
        <v>36.5</v>
      </c>
      <c r="K145" s="45">
        <v>26.75</v>
      </c>
      <c r="L145" s="45">
        <v>36.5</v>
      </c>
      <c r="M145" s="45">
        <v>181.25</v>
      </c>
      <c r="N145" s="45">
        <v>25.5</v>
      </c>
      <c r="O145" s="45">
        <v>25.5</v>
      </c>
      <c r="P145" s="45">
        <v>108.5</v>
      </c>
    </row>
    <row r="146" spans="1:16" ht="15.75">
      <c r="A146" s="94" t="s">
        <v>322</v>
      </c>
      <c r="B146" s="45">
        <v>181.25</v>
      </c>
      <c r="C146" s="45">
        <v>189.5</v>
      </c>
      <c r="D146" s="45">
        <v>107</v>
      </c>
      <c r="E146" s="45">
        <v>107</v>
      </c>
      <c r="F146" s="45">
        <v>52.25</v>
      </c>
      <c r="G146" s="45">
        <v>18</v>
      </c>
      <c r="H146" s="45"/>
      <c r="I146" s="45">
        <v>35</v>
      </c>
      <c r="J146" s="45">
        <v>36.5</v>
      </c>
      <c r="K146" s="45">
        <v>26.75</v>
      </c>
      <c r="L146" s="45">
        <v>36.5</v>
      </c>
      <c r="M146" s="45">
        <v>181.25</v>
      </c>
      <c r="N146" s="45">
        <v>25.5</v>
      </c>
      <c r="O146" s="45">
        <v>25.5</v>
      </c>
      <c r="P146" s="45">
        <v>108.5</v>
      </c>
    </row>
    <row r="147" spans="1:16" ht="15.75">
      <c r="A147" s="94" t="s">
        <v>323</v>
      </c>
      <c r="B147" s="45">
        <v>181.25</v>
      </c>
      <c r="C147" s="45">
        <v>189.5</v>
      </c>
      <c r="D147" s="45">
        <v>107</v>
      </c>
      <c r="E147" s="45">
        <v>107</v>
      </c>
      <c r="F147" s="45">
        <v>52.25</v>
      </c>
      <c r="G147" s="45">
        <v>18</v>
      </c>
      <c r="H147" s="45"/>
      <c r="I147" s="45">
        <v>35</v>
      </c>
      <c r="J147" s="45">
        <v>36.5</v>
      </c>
      <c r="K147" s="45">
        <v>26.75</v>
      </c>
      <c r="L147" s="45">
        <v>36.5</v>
      </c>
      <c r="M147" s="45">
        <v>181.25</v>
      </c>
      <c r="N147" s="45">
        <v>25.5</v>
      </c>
      <c r="O147" s="45">
        <v>25.5</v>
      </c>
      <c r="P147" s="45">
        <v>108.5</v>
      </c>
    </row>
    <row r="148" spans="1:16" ht="15.75">
      <c r="A148" s="94" t="s">
        <v>324</v>
      </c>
      <c r="B148" s="45">
        <v>184.25</v>
      </c>
      <c r="C148" s="45">
        <v>192.75</v>
      </c>
      <c r="D148" s="45">
        <v>108.75</v>
      </c>
      <c r="E148" s="45">
        <v>108.75</v>
      </c>
      <c r="F148" s="45">
        <v>53.25</v>
      </c>
      <c r="G148" s="45">
        <v>18.25</v>
      </c>
      <c r="H148" s="45"/>
      <c r="I148" s="45">
        <v>35.5</v>
      </c>
      <c r="J148" s="45">
        <v>37</v>
      </c>
      <c r="K148" s="45">
        <v>27.25</v>
      </c>
      <c r="L148" s="45">
        <v>37</v>
      </c>
      <c r="M148" s="45">
        <v>184.25</v>
      </c>
      <c r="N148" s="45">
        <v>26</v>
      </c>
      <c r="O148" s="45">
        <v>26</v>
      </c>
      <c r="P148" s="45">
        <v>110.25</v>
      </c>
    </row>
    <row r="149" spans="1:16" ht="15.75">
      <c r="A149" s="94" t="s">
        <v>325</v>
      </c>
      <c r="B149" s="45">
        <v>184.25</v>
      </c>
      <c r="C149" s="45">
        <v>192.75</v>
      </c>
      <c r="D149" s="45">
        <v>108.75</v>
      </c>
      <c r="E149" s="45">
        <v>108.75</v>
      </c>
      <c r="F149" s="45">
        <v>53.25</v>
      </c>
      <c r="G149" s="45">
        <v>18.25</v>
      </c>
      <c r="H149" s="45"/>
      <c r="I149" s="45">
        <v>35.5</v>
      </c>
      <c r="J149" s="45">
        <v>37</v>
      </c>
      <c r="K149" s="45">
        <v>27.25</v>
      </c>
      <c r="L149" s="45">
        <v>37</v>
      </c>
      <c r="M149" s="45">
        <v>184.25</v>
      </c>
      <c r="N149" s="45">
        <v>26</v>
      </c>
      <c r="O149" s="45">
        <v>26</v>
      </c>
      <c r="P149" s="45">
        <v>110.25</v>
      </c>
    </row>
    <row r="150" spans="1:16" ht="15.75">
      <c r="A150" s="94" t="s">
        <v>327</v>
      </c>
      <c r="B150" s="45">
        <v>186.25</v>
      </c>
      <c r="C150" s="45">
        <v>194.75</v>
      </c>
      <c r="D150" s="45">
        <v>110</v>
      </c>
      <c r="E150" s="45">
        <v>110</v>
      </c>
      <c r="F150" s="45">
        <v>53.75</v>
      </c>
      <c r="G150" s="45">
        <v>18.5</v>
      </c>
      <c r="H150" s="45"/>
      <c r="I150" s="45">
        <v>36</v>
      </c>
      <c r="J150" s="45">
        <v>37.5</v>
      </c>
      <c r="K150" s="45">
        <v>27.5</v>
      </c>
      <c r="L150" s="45">
        <v>37.5</v>
      </c>
      <c r="M150" s="45">
        <v>186.25</v>
      </c>
      <c r="N150" s="45">
        <v>26.25</v>
      </c>
      <c r="O150" s="45">
        <v>26.25</v>
      </c>
      <c r="P150" s="45">
        <v>111.5</v>
      </c>
    </row>
    <row r="151" spans="1:16" ht="15.75">
      <c r="A151" s="94" t="s">
        <v>329</v>
      </c>
      <c r="B151" s="45">
        <v>186.25</v>
      </c>
      <c r="C151" s="45">
        <v>194.75</v>
      </c>
      <c r="D151" s="45">
        <v>110</v>
      </c>
      <c r="E151" s="45">
        <v>110</v>
      </c>
      <c r="F151" s="45">
        <v>53.75</v>
      </c>
      <c r="G151" s="45">
        <v>18.5</v>
      </c>
      <c r="H151" s="45"/>
      <c r="I151" s="45">
        <v>36</v>
      </c>
      <c r="J151" s="45">
        <v>37.5</v>
      </c>
      <c r="K151" s="45">
        <v>27.5</v>
      </c>
      <c r="L151" s="45">
        <v>37.5</v>
      </c>
      <c r="M151" s="45">
        <v>186.25</v>
      </c>
      <c r="N151" s="45">
        <v>26.25</v>
      </c>
      <c r="O151" s="45">
        <v>26.25</v>
      </c>
      <c r="P151" s="45">
        <v>111.5</v>
      </c>
    </row>
    <row r="152" spans="1:16" ht="15.75">
      <c r="A152" s="94" t="s">
        <v>331</v>
      </c>
      <c r="B152" s="45">
        <v>186.25</v>
      </c>
      <c r="C152" s="45">
        <v>194.75</v>
      </c>
      <c r="D152" s="45">
        <v>110</v>
      </c>
      <c r="E152" s="45">
        <v>110</v>
      </c>
      <c r="F152" s="45">
        <v>53.75</v>
      </c>
      <c r="G152" s="45">
        <v>18.5</v>
      </c>
      <c r="H152" s="45"/>
      <c r="I152" s="45">
        <v>36</v>
      </c>
      <c r="J152" s="45">
        <v>37.5</v>
      </c>
      <c r="K152" s="45">
        <v>27.5</v>
      </c>
      <c r="L152" s="45">
        <v>37.5</v>
      </c>
      <c r="M152" s="45">
        <v>186.25</v>
      </c>
      <c r="N152" s="45">
        <v>26.25</v>
      </c>
      <c r="O152" s="45">
        <v>26.25</v>
      </c>
      <c r="P152" s="45">
        <v>111.5</v>
      </c>
    </row>
    <row r="153" spans="1:16" s="16" customFormat="1" ht="15.75">
      <c r="A153" s="94" t="s">
        <v>334</v>
      </c>
      <c r="B153" s="45">
        <v>186.25</v>
      </c>
      <c r="C153" s="45">
        <v>194.75</v>
      </c>
      <c r="D153" s="45">
        <v>110</v>
      </c>
      <c r="E153" s="45">
        <v>110</v>
      </c>
      <c r="F153" s="45">
        <v>53.75</v>
      </c>
      <c r="G153" s="45">
        <v>18.5</v>
      </c>
      <c r="H153" s="45"/>
      <c r="I153" s="45">
        <v>36</v>
      </c>
      <c r="J153" s="45">
        <v>37.5</v>
      </c>
      <c r="K153" s="45">
        <v>27.5</v>
      </c>
      <c r="L153" s="45">
        <v>37.5</v>
      </c>
      <c r="M153" s="45">
        <v>186.25</v>
      </c>
      <c r="N153" s="45">
        <v>26.25</v>
      </c>
      <c r="O153" s="45">
        <v>26.25</v>
      </c>
      <c r="P153" s="45">
        <v>111.5</v>
      </c>
    </row>
    <row r="154" spans="1:16" ht="15.75">
      <c r="A154" s="94" t="s">
        <v>336</v>
      </c>
      <c r="B154" s="45">
        <v>191</v>
      </c>
      <c r="C154" s="45">
        <v>199.75</v>
      </c>
      <c r="D154" s="45">
        <v>112.75</v>
      </c>
      <c r="E154" s="45">
        <v>112.75</v>
      </c>
      <c r="F154" s="45">
        <v>55.25</v>
      </c>
      <c r="G154" s="45">
        <v>19</v>
      </c>
      <c r="H154" s="45"/>
      <c r="I154" s="45">
        <v>37</v>
      </c>
      <c r="J154" s="45">
        <v>38.5</v>
      </c>
      <c r="K154" s="45">
        <v>28.25</v>
      </c>
      <c r="L154" s="45">
        <v>38.5</v>
      </c>
      <c r="M154" s="45">
        <v>191</v>
      </c>
      <c r="N154" s="45">
        <v>27</v>
      </c>
      <c r="O154" s="45">
        <v>27</v>
      </c>
      <c r="P154" s="45">
        <v>114.25</v>
      </c>
    </row>
    <row r="155" spans="1:16" ht="15.75">
      <c r="A155" s="94" t="s">
        <v>338</v>
      </c>
      <c r="B155" s="45">
        <v>191</v>
      </c>
      <c r="C155" s="45">
        <v>199.75</v>
      </c>
      <c r="D155" s="45">
        <v>112.75</v>
      </c>
      <c r="E155" s="45">
        <v>112.75</v>
      </c>
      <c r="F155" s="45">
        <v>55.25</v>
      </c>
      <c r="G155" s="45">
        <v>19</v>
      </c>
      <c r="H155" s="45"/>
      <c r="I155" s="45">
        <v>37</v>
      </c>
      <c r="J155" s="45">
        <v>38.5</v>
      </c>
      <c r="K155" s="45">
        <v>28.25</v>
      </c>
      <c r="L155" s="45">
        <v>38.5</v>
      </c>
      <c r="M155" s="45">
        <v>191</v>
      </c>
      <c r="N155" s="45">
        <v>27</v>
      </c>
      <c r="O155" s="45">
        <v>27</v>
      </c>
      <c r="P155" s="45">
        <v>114.25</v>
      </c>
    </row>
    <row r="156" spans="1:16" ht="15.75">
      <c r="A156" s="94" t="s">
        <v>340</v>
      </c>
      <c r="B156" s="45">
        <v>191</v>
      </c>
      <c r="C156" s="45">
        <v>199.75</v>
      </c>
      <c r="D156" s="45">
        <v>112.75</v>
      </c>
      <c r="E156" s="45">
        <v>112.75</v>
      </c>
      <c r="F156" s="45">
        <v>55.25</v>
      </c>
      <c r="G156" s="45">
        <v>19</v>
      </c>
      <c r="H156" s="45"/>
      <c r="I156" s="45">
        <v>37</v>
      </c>
      <c r="J156" s="45">
        <v>38.5</v>
      </c>
      <c r="K156" s="45">
        <v>28.25</v>
      </c>
      <c r="L156" s="45">
        <v>38.5</v>
      </c>
      <c r="M156" s="45">
        <v>191</v>
      </c>
      <c r="N156" s="45">
        <v>27</v>
      </c>
      <c r="O156" s="45">
        <v>27</v>
      </c>
      <c r="P156" s="45">
        <v>114.25</v>
      </c>
    </row>
    <row r="157" spans="1:16" ht="15.75">
      <c r="A157" s="94" t="s">
        <v>341</v>
      </c>
      <c r="B157" s="45">
        <v>191</v>
      </c>
      <c r="C157" s="45">
        <v>199.75</v>
      </c>
      <c r="D157" s="45">
        <v>112.75</v>
      </c>
      <c r="E157" s="45">
        <v>112.75</v>
      </c>
      <c r="F157" s="45">
        <v>55.25</v>
      </c>
      <c r="G157" s="45">
        <v>19</v>
      </c>
      <c r="H157" s="45"/>
      <c r="I157" s="45">
        <v>37</v>
      </c>
      <c r="J157" s="45">
        <v>38.5</v>
      </c>
      <c r="K157" s="45">
        <v>28.25</v>
      </c>
      <c r="L157" s="45">
        <v>38.5</v>
      </c>
      <c r="M157" s="45">
        <v>191</v>
      </c>
      <c r="N157" s="45">
        <v>27</v>
      </c>
      <c r="O157" s="45">
        <v>27</v>
      </c>
      <c r="P157" s="45">
        <v>114.25</v>
      </c>
    </row>
    <row r="158" spans="1:16" ht="15.75">
      <c r="A158" s="94" t="s">
        <v>343</v>
      </c>
      <c r="B158" s="45">
        <v>192.5</v>
      </c>
      <c r="C158" s="45">
        <v>201.5</v>
      </c>
      <c r="D158" s="45">
        <v>113.75</v>
      </c>
      <c r="E158" s="45">
        <v>113.75</v>
      </c>
      <c r="F158" s="45">
        <v>55.75</v>
      </c>
      <c r="G158" s="45">
        <v>19.25</v>
      </c>
      <c r="H158" s="45"/>
      <c r="I158" s="45">
        <v>37.25</v>
      </c>
      <c r="J158" s="45">
        <v>38.75</v>
      </c>
      <c r="K158" s="45">
        <v>28.5</v>
      </c>
      <c r="L158" s="45">
        <v>38.75</v>
      </c>
      <c r="M158" s="45">
        <v>192.5</v>
      </c>
      <c r="N158" s="45">
        <v>27.25</v>
      </c>
      <c r="O158" s="45">
        <v>27.25</v>
      </c>
      <c r="P158" s="45">
        <v>115.25</v>
      </c>
    </row>
    <row r="159" spans="1:16" ht="15.75">
      <c r="A159" s="94" t="s">
        <v>345</v>
      </c>
      <c r="B159" s="45">
        <v>192.5</v>
      </c>
      <c r="C159" s="45">
        <v>201.5</v>
      </c>
      <c r="D159" s="45">
        <v>113.75</v>
      </c>
      <c r="E159" s="45">
        <v>113.75</v>
      </c>
      <c r="F159" s="45">
        <v>55.75</v>
      </c>
      <c r="G159" s="45">
        <v>19.25</v>
      </c>
      <c r="H159" s="45"/>
      <c r="I159" s="45">
        <v>37.25</v>
      </c>
      <c r="J159" s="45">
        <v>38.75</v>
      </c>
      <c r="K159" s="45">
        <v>28.5</v>
      </c>
      <c r="L159" s="45">
        <v>38.75</v>
      </c>
      <c r="M159" s="45">
        <v>192.5</v>
      </c>
      <c r="N159" s="45">
        <v>27.25</v>
      </c>
      <c r="O159" s="45">
        <v>27.25</v>
      </c>
      <c r="P159" s="45">
        <v>115.25</v>
      </c>
    </row>
    <row r="160" spans="1:16" ht="15.75">
      <c r="A160" s="94" t="s">
        <v>347</v>
      </c>
      <c r="B160" s="45">
        <v>192.5</v>
      </c>
      <c r="C160" s="45">
        <v>201.5</v>
      </c>
      <c r="D160" s="45">
        <v>113.75</v>
      </c>
      <c r="E160" s="45">
        <v>113.75</v>
      </c>
      <c r="F160" s="45">
        <v>55.75</v>
      </c>
      <c r="G160" s="45">
        <v>19.25</v>
      </c>
      <c r="H160" s="45"/>
      <c r="I160" s="45">
        <v>37.25</v>
      </c>
      <c r="J160" s="45">
        <v>38.75</v>
      </c>
      <c r="K160" s="45">
        <v>28.5</v>
      </c>
      <c r="L160" s="45">
        <v>38.75</v>
      </c>
      <c r="M160" s="45">
        <v>192.5</v>
      </c>
      <c r="N160" s="45">
        <v>27.25</v>
      </c>
      <c r="O160" s="45">
        <v>27.25</v>
      </c>
      <c r="P160" s="45">
        <v>115.25</v>
      </c>
    </row>
    <row r="161" spans="1:16" ht="15.75">
      <c r="A161" s="94" t="s">
        <v>362</v>
      </c>
      <c r="B161" s="45">
        <v>192.5</v>
      </c>
      <c r="C161" s="45">
        <v>201.5</v>
      </c>
      <c r="D161" s="45">
        <v>113.75</v>
      </c>
      <c r="E161" s="45">
        <v>113.75</v>
      </c>
      <c r="F161" s="45">
        <v>55.75</v>
      </c>
      <c r="G161" s="45">
        <v>19.25</v>
      </c>
      <c r="H161" s="45"/>
      <c r="I161" s="45">
        <v>37.25</v>
      </c>
      <c r="J161" s="45">
        <v>38.75</v>
      </c>
      <c r="K161" s="45">
        <v>28.5</v>
      </c>
      <c r="L161" s="45">
        <v>38.75</v>
      </c>
      <c r="M161" s="45">
        <v>192.5</v>
      </c>
      <c r="N161" s="45">
        <v>27.25</v>
      </c>
      <c r="O161" s="45">
        <v>27.25</v>
      </c>
      <c r="P161" s="45">
        <v>115.25</v>
      </c>
    </row>
    <row r="162" spans="1:16" ht="15.75">
      <c r="A162" s="94" t="s">
        <v>364</v>
      </c>
      <c r="B162" s="45">
        <v>193.25</v>
      </c>
      <c r="C162" s="45">
        <v>202.5</v>
      </c>
      <c r="D162" s="45">
        <v>114.25</v>
      </c>
      <c r="E162" s="45">
        <v>114.25</v>
      </c>
      <c r="F162" s="45">
        <v>56</v>
      </c>
      <c r="G162" s="45">
        <v>19.25</v>
      </c>
      <c r="H162" s="45"/>
      <c r="I162" s="45">
        <v>37.5</v>
      </c>
      <c r="J162" s="45">
        <v>39</v>
      </c>
      <c r="K162" s="45">
        <v>28.75</v>
      </c>
      <c r="L162" s="45">
        <v>39</v>
      </c>
      <c r="M162" s="45">
        <v>193.25</v>
      </c>
      <c r="N162" s="45">
        <v>27.25</v>
      </c>
      <c r="O162" s="45">
        <v>27.25</v>
      </c>
      <c r="P162" s="45">
        <v>115.75</v>
      </c>
    </row>
    <row r="163" spans="1:16" ht="15.75">
      <c r="A163" s="94" t="s">
        <v>366</v>
      </c>
      <c r="B163" s="45">
        <v>193.25</v>
      </c>
      <c r="C163" s="45">
        <v>202.5</v>
      </c>
      <c r="D163" s="45">
        <v>114.25</v>
      </c>
      <c r="E163" s="45">
        <v>114.25</v>
      </c>
      <c r="F163" s="45">
        <v>56</v>
      </c>
      <c r="G163" s="45">
        <v>19.25</v>
      </c>
      <c r="H163" s="45"/>
      <c r="I163" s="45">
        <v>37.5</v>
      </c>
      <c r="J163" s="45">
        <v>39</v>
      </c>
      <c r="K163" s="45">
        <v>28.75</v>
      </c>
      <c r="L163" s="45">
        <v>39</v>
      </c>
      <c r="M163" s="45">
        <v>193.25</v>
      </c>
      <c r="N163" s="45">
        <v>27.25</v>
      </c>
      <c r="O163" s="45">
        <v>27.25</v>
      </c>
      <c r="P163" s="45">
        <v>115.75</v>
      </c>
    </row>
    <row r="164" spans="1:16" s="16" customFormat="1" ht="15.75">
      <c r="A164" s="92" t="s">
        <v>367</v>
      </c>
      <c r="B164" s="45">
        <v>193.25</v>
      </c>
      <c r="C164" s="45">
        <v>202.5</v>
      </c>
      <c r="D164" s="45">
        <v>114.25</v>
      </c>
      <c r="E164" s="45">
        <v>114.25</v>
      </c>
      <c r="F164" s="45">
        <v>56</v>
      </c>
      <c r="G164" s="45">
        <v>19.25</v>
      </c>
      <c r="H164" s="45"/>
      <c r="I164" s="45">
        <v>37.5</v>
      </c>
      <c r="J164" s="45">
        <v>39</v>
      </c>
      <c r="K164" s="45">
        <v>28.75</v>
      </c>
      <c r="L164" s="45">
        <v>39</v>
      </c>
      <c r="M164" s="45">
        <v>193.25</v>
      </c>
      <c r="N164" s="45">
        <v>27.25</v>
      </c>
      <c r="O164" s="45">
        <v>27.25</v>
      </c>
      <c r="P164" s="45">
        <v>115.75</v>
      </c>
    </row>
    <row r="165" spans="1:16" ht="15.75">
      <c r="A165" s="94" t="s">
        <v>368</v>
      </c>
      <c r="B165" s="45">
        <v>193.25</v>
      </c>
      <c r="C165" s="45">
        <v>202.5</v>
      </c>
      <c r="D165" s="45">
        <v>114.25</v>
      </c>
      <c r="E165" s="45">
        <v>114.25</v>
      </c>
      <c r="F165" s="45">
        <v>56</v>
      </c>
      <c r="G165" s="45">
        <v>19.25</v>
      </c>
      <c r="H165" s="45"/>
      <c r="I165" s="45">
        <v>37.5</v>
      </c>
      <c r="J165" s="45">
        <v>39</v>
      </c>
      <c r="K165" s="45">
        <v>28.75</v>
      </c>
      <c r="L165" s="45">
        <v>39</v>
      </c>
      <c r="M165" s="45">
        <v>193.25</v>
      </c>
      <c r="N165" s="45">
        <v>27.25</v>
      </c>
      <c r="O165" s="45">
        <v>27.25</v>
      </c>
      <c r="P165" s="45">
        <v>115.75</v>
      </c>
    </row>
    <row r="166" spans="1:16" ht="15.75">
      <c r="A166" s="94" t="s">
        <v>369</v>
      </c>
      <c r="B166" s="45">
        <v>197</v>
      </c>
      <c r="C166" s="45">
        <v>206.25</v>
      </c>
      <c r="D166" s="45">
        <v>116.5</v>
      </c>
      <c r="E166" s="45">
        <v>116.5</v>
      </c>
      <c r="F166" s="45">
        <v>57</v>
      </c>
      <c r="G166" s="45">
        <v>19.5</v>
      </c>
      <c r="H166" s="45"/>
      <c r="I166" s="45">
        <v>38.25</v>
      </c>
      <c r="J166" s="45">
        <v>39.75</v>
      </c>
      <c r="K166" s="45">
        <v>29.25</v>
      </c>
      <c r="L166" s="45">
        <v>39.75</v>
      </c>
      <c r="M166" s="45">
        <v>197</v>
      </c>
      <c r="N166" s="45">
        <v>27.75</v>
      </c>
      <c r="O166" s="45">
        <v>27.75</v>
      </c>
      <c r="P166" s="45">
        <v>118</v>
      </c>
    </row>
    <row r="167" spans="1:16" ht="15.75">
      <c r="A167" s="94" t="s">
        <v>371</v>
      </c>
      <c r="B167" s="45">
        <v>197</v>
      </c>
      <c r="C167" s="45">
        <v>206.25</v>
      </c>
      <c r="D167" s="45">
        <v>116.5</v>
      </c>
      <c r="E167" s="45">
        <v>116.5</v>
      </c>
      <c r="F167" s="45">
        <v>57</v>
      </c>
      <c r="G167" s="45">
        <v>19.5</v>
      </c>
      <c r="H167" s="45"/>
      <c r="I167" s="45">
        <v>38.25</v>
      </c>
      <c r="J167" s="45">
        <v>39.75</v>
      </c>
      <c r="K167" s="45">
        <v>29.25</v>
      </c>
      <c r="L167" s="45">
        <v>39.75</v>
      </c>
      <c r="M167" s="45">
        <v>197</v>
      </c>
      <c r="N167" s="45">
        <v>27.75</v>
      </c>
      <c r="O167" s="45">
        <v>27.75</v>
      </c>
      <c r="P167" s="45">
        <v>118</v>
      </c>
    </row>
    <row r="168" spans="1:16" ht="15.75">
      <c r="A168" s="94" t="s">
        <v>372</v>
      </c>
      <c r="B168" s="45">
        <v>197</v>
      </c>
      <c r="C168" s="45">
        <v>206.25</v>
      </c>
      <c r="D168" s="45">
        <v>116.5</v>
      </c>
      <c r="E168" s="45">
        <v>116.5</v>
      </c>
      <c r="F168" s="45">
        <v>57</v>
      </c>
      <c r="G168" s="45">
        <v>19.5</v>
      </c>
      <c r="H168" s="45"/>
      <c r="I168" s="45">
        <v>38.25</v>
      </c>
      <c r="J168" s="45">
        <v>39.75</v>
      </c>
      <c r="K168" s="45">
        <v>29.25</v>
      </c>
      <c r="L168" s="45">
        <v>39.75</v>
      </c>
      <c r="M168" s="45">
        <v>197</v>
      </c>
      <c r="N168" s="45">
        <v>27.75</v>
      </c>
      <c r="O168" s="45">
        <v>27.75</v>
      </c>
      <c r="P168" s="45">
        <v>118</v>
      </c>
    </row>
    <row r="169" spans="1:16" ht="15.75">
      <c r="A169" s="94" t="s">
        <v>373</v>
      </c>
      <c r="B169" s="45">
        <v>197</v>
      </c>
      <c r="C169" s="45">
        <v>206.25</v>
      </c>
      <c r="D169" s="45">
        <v>116.5</v>
      </c>
      <c r="E169" s="45">
        <v>116.5</v>
      </c>
      <c r="F169" s="45">
        <v>57</v>
      </c>
      <c r="G169" s="45">
        <v>19.5</v>
      </c>
      <c r="H169" s="45"/>
      <c r="I169" s="45">
        <v>38.25</v>
      </c>
      <c r="J169" s="45">
        <v>39.75</v>
      </c>
      <c r="K169" s="45">
        <v>29.25</v>
      </c>
      <c r="L169" s="45">
        <v>39.75</v>
      </c>
      <c r="M169" s="45">
        <v>197</v>
      </c>
      <c r="N169" s="45">
        <v>27.75</v>
      </c>
      <c r="O169" s="45">
        <v>27.75</v>
      </c>
      <c r="P169" s="45">
        <v>118</v>
      </c>
    </row>
    <row r="170" spans="1:16" ht="15.75">
      <c r="A170" s="94" t="s">
        <v>374</v>
      </c>
      <c r="B170" s="45">
        <v>199.75</v>
      </c>
      <c r="C170" s="45">
        <v>209</v>
      </c>
      <c r="D170" s="45">
        <v>118</v>
      </c>
      <c r="E170" s="45">
        <v>118</v>
      </c>
      <c r="F170" s="45">
        <v>57.75</v>
      </c>
      <c r="G170" s="45">
        <v>19.75</v>
      </c>
      <c r="H170" s="45"/>
      <c r="I170" s="45">
        <v>38.75</v>
      </c>
      <c r="J170" s="45">
        <v>40.25</v>
      </c>
      <c r="K170" s="45">
        <v>38.75</v>
      </c>
      <c r="L170" s="45">
        <v>40.25</v>
      </c>
      <c r="M170" s="45">
        <v>199.75</v>
      </c>
      <c r="N170" s="45">
        <v>28.25</v>
      </c>
      <c r="O170" s="45">
        <v>28.25</v>
      </c>
      <c r="P170" s="45">
        <v>119.5</v>
      </c>
    </row>
    <row r="171" spans="1:16" ht="15.75">
      <c r="A171" s="94" t="s">
        <v>375</v>
      </c>
      <c r="B171" s="45">
        <v>199.75</v>
      </c>
      <c r="C171" s="45">
        <v>209</v>
      </c>
      <c r="D171" s="45">
        <v>118</v>
      </c>
      <c r="E171" s="45">
        <v>118</v>
      </c>
      <c r="F171" s="45">
        <v>57.75</v>
      </c>
      <c r="G171" s="45">
        <v>19.75</v>
      </c>
      <c r="H171" s="45"/>
      <c r="I171" s="45">
        <v>38.75</v>
      </c>
      <c r="J171" s="45">
        <v>40.25</v>
      </c>
      <c r="K171" s="45">
        <v>29.75</v>
      </c>
      <c r="L171" s="45">
        <v>40.25</v>
      </c>
      <c r="M171" s="45">
        <v>199.75</v>
      </c>
      <c r="N171" s="45">
        <v>28.25</v>
      </c>
      <c r="O171" s="45">
        <v>28.25</v>
      </c>
      <c r="P171" s="45">
        <v>119.5</v>
      </c>
    </row>
    <row r="172" spans="1:16" ht="15.75">
      <c r="A172" s="94" t="s">
        <v>376</v>
      </c>
      <c r="B172" s="45">
        <v>199.75</v>
      </c>
      <c r="C172" s="45">
        <v>209</v>
      </c>
      <c r="D172" s="45">
        <v>118</v>
      </c>
      <c r="E172" s="45">
        <v>118</v>
      </c>
      <c r="F172" s="45">
        <v>57.75</v>
      </c>
      <c r="G172" s="45">
        <v>19.75</v>
      </c>
      <c r="H172" s="45"/>
      <c r="I172" s="45">
        <v>38.75</v>
      </c>
      <c r="J172" s="45">
        <v>40.25</v>
      </c>
      <c r="K172" s="45">
        <v>29.75</v>
      </c>
      <c r="L172" s="45">
        <v>40.25</v>
      </c>
      <c r="M172" s="45">
        <v>199.75</v>
      </c>
      <c r="N172" s="45">
        <v>28.25</v>
      </c>
      <c r="O172" s="45">
        <v>28.25</v>
      </c>
      <c r="P172" s="45">
        <v>119.5</v>
      </c>
    </row>
    <row r="173" spans="1:16" ht="15.75">
      <c r="A173" s="94" t="s">
        <v>377</v>
      </c>
      <c r="B173" s="45">
        <v>199.75</v>
      </c>
      <c r="C173" s="45">
        <v>209</v>
      </c>
      <c r="D173" s="45">
        <v>118</v>
      </c>
      <c r="E173" s="45">
        <v>118</v>
      </c>
      <c r="F173" s="45">
        <v>57.75</v>
      </c>
      <c r="G173" s="45">
        <v>19.75</v>
      </c>
      <c r="H173" s="45"/>
      <c r="I173" s="45">
        <v>38.75</v>
      </c>
      <c r="J173" s="45">
        <v>40.25</v>
      </c>
      <c r="K173" s="45">
        <v>29.75</v>
      </c>
      <c r="L173" s="45">
        <v>40.25</v>
      </c>
      <c r="M173" s="45">
        <v>199.75</v>
      </c>
      <c r="N173" s="45">
        <v>28.25</v>
      </c>
      <c r="O173" s="45">
        <v>28.25</v>
      </c>
      <c r="P173" s="45">
        <v>119.5</v>
      </c>
    </row>
    <row r="174" spans="1:16" ht="15.75">
      <c r="A174" s="94" t="s">
        <v>378</v>
      </c>
      <c r="B174" s="45">
        <v>202.5</v>
      </c>
      <c r="C174" s="45">
        <v>212</v>
      </c>
      <c r="D174" s="45">
        <v>119.75</v>
      </c>
      <c r="E174" s="45">
        <v>119.75</v>
      </c>
      <c r="F174" s="45">
        <v>58.5</v>
      </c>
      <c r="G174" s="45">
        <v>20</v>
      </c>
      <c r="H174" s="45"/>
      <c r="I174" s="45">
        <v>39.25</v>
      </c>
      <c r="J174" s="45">
        <v>40.75</v>
      </c>
      <c r="K174" s="45">
        <v>30.25</v>
      </c>
      <c r="L174" s="45">
        <v>40.75</v>
      </c>
      <c r="M174" s="45">
        <v>202.5</v>
      </c>
      <c r="N174" s="45">
        <v>28.75</v>
      </c>
      <c r="O174" s="45">
        <v>28.75</v>
      </c>
      <c r="P174" s="45">
        <v>121.25</v>
      </c>
    </row>
    <row r="175" spans="1:16" ht="15.75">
      <c r="A175" s="94" t="s">
        <v>379</v>
      </c>
      <c r="B175" s="45">
        <v>202.5</v>
      </c>
      <c r="C175" s="45">
        <v>212</v>
      </c>
      <c r="D175" s="45">
        <v>119.75</v>
      </c>
      <c r="E175" s="45">
        <v>119.75</v>
      </c>
      <c r="F175" s="45">
        <v>58.5</v>
      </c>
      <c r="G175" s="45">
        <v>20</v>
      </c>
      <c r="H175" s="45"/>
      <c r="I175" s="45">
        <v>39.25</v>
      </c>
      <c r="J175" s="45">
        <v>40.75</v>
      </c>
      <c r="K175" s="45">
        <v>30.25</v>
      </c>
      <c r="L175" s="45">
        <v>40.75</v>
      </c>
      <c r="M175" s="45">
        <v>202.5</v>
      </c>
      <c r="N175" s="45">
        <v>28.75</v>
      </c>
      <c r="O175" s="45">
        <v>28.75</v>
      </c>
      <c r="P175" s="45">
        <v>121.25</v>
      </c>
    </row>
    <row r="176" spans="1:16" ht="15.75">
      <c r="A176" s="94" t="s">
        <v>380</v>
      </c>
      <c r="B176" s="45">
        <v>203.5</v>
      </c>
      <c r="C176" s="45">
        <v>213</v>
      </c>
      <c r="D176" s="45">
        <v>120.25</v>
      </c>
      <c r="E176" s="45">
        <v>120.25</v>
      </c>
      <c r="F176" s="45">
        <v>58.75</v>
      </c>
      <c r="G176" s="45">
        <v>20</v>
      </c>
      <c r="H176" s="45"/>
      <c r="I176" s="45">
        <v>39.5</v>
      </c>
      <c r="J176" s="45">
        <v>41</v>
      </c>
      <c r="K176" s="45">
        <v>30.5</v>
      </c>
      <c r="L176" s="45">
        <v>41</v>
      </c>
      <c r="M176" s="45">
        <v>203.5</v>
      </c>
      <c r="N176" s="45">
        <v>29</v>
      </c>
      <c r="O176" s="45">
        <v>29</v>
      </c>
      <c r="P176" s="45">
        <v>121.75</v>
      </c>
    </row>
    <row r="177" spans="1:16" ht="15.75">
      <c r="A177" s="94" t="s">
        <v>382</v>
      </c>
      <c r="B177" s="45">
        <v>203.5</v>
      </c>
      <c r="C177" s="45">
        <v>213</v>
      </c>
      <c r="D177" s="45">
        <v>120.25</v>
      </c>
      <c r="E177" s="45">
        <v>120.25</v>
      </c>
      <c r="F177" s="45">
        <v>58.75</v>
      </c>
      <c r="G177" s="45">
        <v>20</v>
      </c>
      <c r="H177" s="45"/>
      <c r="I177" s="45">
        <v>39.5</v>
      </c>
      <c r="J177" s="45">
        <v>41</v>
      </c>
      <c r="K177" s="45">
        <v>30.5</v>
      </c>
      <c r="L177" s="45">
        <v>41</v>
      </c>
      <c r="M177" s="45">
        <v>203.5</v>
      </c>
      <c r="N177" s="45">
        <v>29</v>
      </c>
      <c r="O177" s="45">
        <v>29</v>
      </c>
      <c r="P177" s="45">
        <v>121.75</v>
      </c>
    </row>
    <row r="178" spans="1:16" ht="15.75">
      <c r="A178" s="94" t="s">
        <v>383</v>
      </c>
      <c r="B178" s="45">
        <v>206.5</v>
      </c>
      <c r="C178" s="45">
        <v>216</v>
      </c>
      <c r="D178" s="45">
        <v>122</v>
      </c>
      <c r="E178" s="45">
        <v>122</v>
      </c>
      <c r="F178" s="45">
        <v>59.5</v>
      </c>
      <c r="G178" s="45">
        <v>20.25</v>
      </c>
      <c r="H178" s="45"/>
      <c r="I178" s="45">
        <v>40</v>
      </c>
      <c r="J178" s="45">
        <v>41.5</v>
      </c>
      <c r="K178" s="45">
        <v>31</v>
      </c>
      <c r="L178" s="45">
        <v>41.5</v>
      </c>
      <c r="M178" s="45">
        <v>206.5</v>
      </c>
      <c r="N178" s="45">
        <v>29.5</v>
      </c>
      <c r="O178" s="45">
        <v>29.5</v>
      </c>
      <c r="P178" s="45">
        <v>123.5</v>
      </c>
    </row>
    <row r="179" spans="1:16" ht="15.75">
      <c r="A179" s="94" t="s">
        <v>384</v>
      </c>
      <c r="B179" s="45">
        <v>206.5</v>
      </c>
      <c r="C179" s="45">
        <v>216</v>
      </c>
      <c r="D179" s="45">
        <v>122</v>
      </c>
      <c r="E179" s="45">
        <v>122</v>
      </c>
      <c r="F179" s="45">
        <v>59.5</v>
      </c>
      <c r="G179" s="45">
        <v>20.25</v>
      </c>
      <c r="H179" s="45"/>
      <c r="I179" s="45">
        <v>40</v>
      </c>
      <c r="J179" s="45">
        <v>41.5</v>
      </c>
      <c r="K179" s="45">
        <v>31</v>
      </c>
      <c r="L179" s="45">
        <v>41.5</v>
      </c>
      <c r="M179" s="45">
        <v>206.5</v>
      </c>
      <c r="N179" s="45">
        <v>29.5</v>
      </c>
      <c r="O179" s="45">
        <v>29.5</v>
      </c>
      <c r="P179" s="45">
        <v>123.5</v>
      </c>
    </row>
    <row r="180" spans="1:16" ht="15.75">
      <c r="A180" s="94" t="s">
        <v>386</v>
      </c>
      <c r="B180" s="45">
        <v>208.25</v>
      </c>
      <c r="C180" s="45">
        <v>217.75</v>
      </c>
      <c r="D180" s="45">
        <v>123</v>
      </c>
      <c r="E180" s="45">
        <v>123</v>
      </c>
      <c r="F180" s="45">
        <v>60</v>
      </c>
      <c r="G180" s="45">
        <v>20.5</v>
      </c>
      <c r="H180" s="45"/>
      <c r="I180" s="45">
        <v>40.25</v>
      </c>
      <c r="J180" s="45">
        <v>41.75</v>
      </c>
      <c r="K180" s="45">
        <v>31.25</v>
      </c>
      <c r="L180" s="45">
        <v>41.75</v>
      </c>
      <c r="M180" s="45">
        <v>208.25</v>
      </c>
      <c r="N180" s="45">
        <v>29.75</v>
      </c>
      <c r="O180" s="45">
        <v>29.75</v>
      </c>
      <c r="P180" s="45">
        <v>124.5</v>
      </c>
    </row>
    <row r="181" spans="1:16" ht="15.75">
      <c r="A181" s="94" t="s">
        <v>388</v>
      </c>
      <c r="B181" s="45">
        <v>208.25</v>
      </c>
      <c r="C181" s="45">
        <v>217.75</v>
      </c>
      <c r="D181" s="45">
        <v>123</v>
      </c>
      <c r="E181" s="45">
        <v>123</v>
      </c>
      <c r="F181" s="45">
        <v>60</v>
      </c>
      <c r="G181" s="45">
        <v>20.5</v>
      </c>
      <c r="H181" s="45"/>
      <c r="I181" s="45">
        <v>40.25</v>
      </c>
      <c r="J181" s="45">
        <v>41.75</v>
      </c>
      <c r="K181" s="45">
        <v>31.25</v>
      </c>
      <c r="L181" s="45">
        <v>41.75</v>
      </c>
      <c r="M181" s="45">
        <v>208.25</v>
      </c>
      <c r="N181" s="45">
        <v>29.75</v>
      </c>
      <c r="O181" s="45">
        <v>29.75</v>
      </c>
      <c r="P181" s="45">
        <v>124.5</v>
      </c>
    </row>
    <row r="182" spans="1:16" ht="15.75">
      <c r="A182" s="94" t="s">
        <v>389</v>
      </c>
      <c r="B182" s="45">
        <v>212</v>
      </c>
      <c r="C182" s="45">
        <v>221.75</v>
      </c>
      <c r="D182" s="45">
        <v>125.25</v>
      </c>
      <c r="E182" s="45">
        <v>125.25</v>
      </c>
      <c r="F182" s="45">
        <v>61</v>
      </c>
      <c r="G182" s="45">
        <v>20.75</v>
      </c>
      <c r="H182" s="45"/>
      <c r="I182" s="45">
        <v>41</v>
      </c>
      <c r="J182" s="45">
        <v>42.5</v>
      </c>
      <c r="K182" s="45">
        <v>31.75</v>
      </c>
      <c r="L182" s="45">
        <v>42.5</v>
      </c>
      <c r="M182" s="45">
        <v>212</v>
      </c>
      <c r="N182" s="45">
        <v>30.25</v>
      </c>
      <c r="O182" s="45">
        <v>30.25</v>
      </c>
      <c r="P182" s="45">
        <v>126.75</v>
      </c>
    </row>
    <row r="183" spans="1:16" ht="15.75">
      <c r="A183" s="94" t="s">
        <v>390</v>
      </c>
      <c r="B183" s="45">
        <v>212</v>
      </c>
      <c r="C183" s="45">
        <v>221.75</v>
      </c>
      <c r="D183" s="45">
        <v>125.25</v>
      </c>
      <c r="E183" s="45">
        <v>125.25</v>
      </c>
      <c r="F183" s="45">
        <v>61</v>
      </c>
      <c r="G183" s="45">
        <v>20.75</v>
      </c>
      <c r="H183" s="45"/>
      <c r="I183" s="45">
        <v>41</v>
      </c>
      <c r="J183" s="45">
        <v>42.5</v>
      </c>
      <c r="K183" s="45">
        <v>31.75</v>
      </c>
      <c r="L183" s="45">
        <v>42.5</v>
      </c>
      <c r="M183" s="45">
        <v>212</v>
      </c>
      <c r="N183" s="45">
        <v>30.25</v>
      </c>
      <c r="O183" s="45">
        <v>30.25</v>
      </c>
      <c r="P183" s="45">
        <v>126.75</v>
      </c>
    </row>
    <row r="184" spans="1:16" ht="15.75">
      <c r="A184" s="94" t="s">
        <v>391</v>
      </c>
      <c r="B184" s="45">
        <v>212</v>
      </c>
      <c r="C184" s="45">
        <v>221.75</v>
      </c>
      <c r="D184" s="45">
        <v>125.25</v>
      </c>
      <c r="E184" s="45">
        <v>125.25</v>
      </c>
      <c r="F184" s="45">
        <v>61</v>
      </c>
      <c r="G184" s="45">
        <v>20.75</v>
      </c>
      <c r="H184" s="45"/>
      <c r="I184" s="45">
        <v>41</v>
      </c>
      <c r="J184" s="45">
        <v>42.5</v>
      </c>
      <c r="K184" s="45">
        <v>31.75</v>
      </c>
      <c r="L184" s="45">
        <v>42.5</v>
      </c>
      <c r="M184" s="45">
        <v>212</v>
      </c>
      <c r="N184" s="45">
        <v>30.25</v>
      </c>
      <c r="O184" s="45">
        <v>30.25</v>
      </c>
      <c r="P184" s="45">
        <v>126.75</v>
      </c>
    </row>
    <row r="185" spans="1:16" ht="15.75">
      <c r="A185" s="94" t="s">
        <v>392</v>
      </c>
      <c r="B185" s="45">
        <v>212</v>
      </c>
      <c r="C185" s="45">
        <v>221.75</v>
      </c>
      <c r="D185" s="45">
        <v>125.25</v>
      </c>
      <c r="E185" s="45">
        <v>125.25</v>
      </c>
      <c r="F185" s="45">
        <v>61</v>
      </c>
      <c r="G185" s="45">
        <v>20.75</v>
      </c>
      <c r="H185" s="45"/>
      <c r="I185" s="45">
        <v>41</v>
      </c>
      <c r="J185" s="45">
        <v>42.5</v>
      </c>
      <c r="K185" s="45">
        <v>31.75</v>
      </c>
      <c r="L185" s="45">
        <v>42.5</v>
      </c>
      <c r="M185" s="45">
        <v>212</v>
      </c>
      <c r="N185" s="45">
        <v>30.25</v>
      </c>
      <c r="O185" s="45">
        <v>30.25</v>
      </c>
      <c r="P185" s="45">
        <v>126.75</v>
      </c>
    </row>
    <row r="186" spans="1:16" ht="15.75">
      <c r="A186" s="94" t="s">
        <v>393</v>
      </c>
      <c r="B186" s="45">
        <v>212</v>
      </c>
      <c r="C186" s="45">
        <v>221.75</v>
      </c>
      <c r="D186" s="45">
        <v>125.25</v>
      </c>
      <c r="E186" s="45">
        <v>125.25</v>
      </c>
      <c r="F186" s="45">
        <v>61</v>
      </c>
      <c r="G186" s="45">
        <v>20.75</v>
      </c>
      <c r="H186" s="45"/>
      <c r="I186" s="45">
        <v>41</v>
      </c>
      <c r="J186" s="45">
        <v>42.5</v>
      </c>
      <c r="K186" s="45">
        <v>31.75</v>
      </c>
      <c r="L186" s="45">
        <v>42.5</v>
      </c>
      <c r="M186" s="45">
        <v>212</v>
      </c>
      <c r="N186" s="45">
        <v>30.25</v>
      </c>
      <c r="O186" s="45">
        <v>30.25</v>
      </c>
      <c r="P186" s="45">
        <v>126.75</v>
      </c>
    </row>
    <row r="187" spans="1:16" ht="15.75">
      <c r="A187" s="94" t="s">
        <v>394</v>
      </c>
      <c r="B187" s="45">
        <v>212</v>
      </c>
      <c r="C187" s="45">
        <v>221.75</v>
      </c>
      <c r="D187" s="45">
        <v>125.25</v>
      </c>
      <c r="E187" s="45">
        <v>125.25</v>
      </c>
      <c r="F187" s="45">
        <v>61</v>
      </c>
      <c r="G187" s="45">
        <v>20.75</v>
      </c>
      <c r="H187" s="45"/>
      <c r="I187" s="45">
        <v>41</v>
      </c>
      <c r="J187" s="45">
        <v>42.5</v>
      </c>
      <c r="K187" s="45">
        <v>31.75</v>
      </c>
      <c r="L187" s="45">
        <v>42.5</v>
      </c>
      <c r="M187" s="45">
        <v>212</v>
      </c>
      <c r="N187" s="45">
        <v>30.25</v>
      </c>
      <c r="O187" s="45">
        <v>30.25</v>
      </c>
      <c r="P187" s="45">
        <v>126.75</v>
      </c>
    </row>
    <row r="188" spans="1:16" ht="15.75">
      <c r="A188" s="95" t="s">
        <v>396</v>
      </c>
      <c r="B188" s="7">
        <v>212</v>
      </c>
      <c r="C188" s="7">
        <v>221.75</v>
      </c>
      <c r="D188" s="7">
        <v>125.25</v>
      </c>
      <c r="E188" s="7">
        <v>125.25</v>
      </c>
      <c r="F188" s="7">
        <v>61</v>
      </c>
      <c r="G188" s="7">
        <v>20.75</v>
      </c>
      <c r="H188" s="7"/>
      <c r="I188" s="7">
        <v>41</v>
      </c>
      <c r="J188" s="7">
        <v>42.5</v>
      </c>
      <c r="K188" s="7">
        <v>31.75</v>
      </c>
      <c r="L188" s="7">
        <v>42.5</v>
      </c>
      <c r="M188" s="7">
        <v>212</v>
      </c>
      <c r="N188" s="7">
        <v>30.25</v>
      </c>
      <c r="O188" s="7">
        <v>30.25</v>
      </c>
      <c r="P188" s="7">
        <v>126.75</v>
      </c>
    </row>
    <row r="189" spans="1:16" ht="15.75">
      <c r="A189" s="92" t="s">
        <v>397</v>
      </c>
      <c r="B189" s="45">
        <v>212.5</v>
      </c>
      <c r="C189" s="45">
        <v>222.5</v>
      </c>
      <c r="D189" s="45">
        <v>125.5</v>
      </c>
      <c r="E189" s="45">
        <v>125.5</v>
      </c>
      <c r="F189" s="45">
        <v>61.25</v>
      </c>
      <c r="G189" s="45">
        <v>20.75</v>
      </c>
      <c r="H189" s="45"/>
      <c r="I189" s="45">
        <v>41</v>
      </c>
      <c r="J189" s="45">
        <v>42.5</v>
      </c>
      <c r="K189" s="45">
        <v>31.75</v>
      </c>
      <c r="L189" s="45">
        <v>42.5</v>
      </c>
      <c r="M189" s="45">
        <v>212.5</v>
      </c>
      <c r="N189" s="45">
        <v>30.25</v>
      </c>
      <c r="O189" s="45">
        <v>30.25</v>
      </c>
      <c r="P189" s="45">
        <v>127</v>
      </c>
    </row>
    <row r="190" spans="1:16" ht="15.75">
      <c r="A190" s="94" t="s">
        <v>399</v>
      </c>
      <c r="B190" s="45">
        <v>212.5</v>
      </c>
      <c r="C190" s="45">
        <v>222.5</v>
      </c>
      <c r="D190" s="45">
        <v>125.5</v>
      </c>
      <c r="E190" s="45">
        <v>125.5</v>
      </c>
      <c r="F190" s="45">
        <v>61.25</v>
      </c>
      <c r="G190" s="45">
        <v>20.75</v>
      </c>
      <c r="H190" s="45"/>
      <c r="I190" s="45">
        <v>41</v>
      </c>
      <c r="J190" s="45">
        <v>42.5</v>
      </c>
      <c r="K190" s="45">
        <v>31.75</v>
      </c>
      <c r="L190" s="45">
        <v>42.5</v>
      </c>
      <c r="M190" s="45">
        <v>212.5</v>
      </c>
      <c r="N190" s="45">
        <v>30.25</v>
      </c>
      <c r="O190" s="45">
        <v>30.25</v>
      </c>
      <c r="P190" s="45">
        <v>127</v>
      </c>
    </row>
    <row r="191" spans="1:16" ht="15.75">
      <c r="A191" s="94" t="s">
        <v>400</v>
      </c>
      <c r="B191" s="45">
        <v>215.75</v>
      </c>
      <c r="C191" s="45">
        <v>226</v>
      </c>
      <c r="D191" s="45">
        <v>127.5</v>
      </c>
      <c r="E191" s="45">
        <v>127.5</v>
      </c>
      <c r="F191" s="45">
        <v>62.25</v>
      </c>
      <c r="G191" s="45">
        <v>21</v>
      </c>
      <c r="H191" s="45"/>
      <c r="I191" s="45">
        <v>41.75</v>
      </c>
      <c r="J191" s="45">
        <v>43.25</v>
      </c>
      <c r="K191" s="45">
        <v>32.25</v>
      </c>
      <c r="L191" s="45">
        <v>43.25</v>
      </c>
      <c r="M191" s="45">
        <v>215.75</v>
      </c>
      <c r="N191" s="45">
        <v>30.75</v>
      </c>
      <c r="O191" s="45">
        <v>30.75</v>
      </c>
      <c r="P191" s="45">
        <v>129</v>
      </c>
    </row>
    <row r="192" spans="1:16" ht="15.75">
      <c r="A192" s="94" t="s">
        <v>398</v>
      </c>
      <c r="B192" s="45">
        <v>215.75</v>
      </c>
      <c r="C192" s="45">
        <v>226</v>
      </c>
      <c r="D192" s="45">
        <v>127.5</v>
      </c>
      <c r="E192" s="45">
        <v>127.5</v>
      </c>
      <c r="F192" s="45">
        <v>62.25</v>
      </c>
      <c r="G192" s="45">
        <v>21</v>
      </c>
      <c r="H192" s="45"/>
      <c r="I192" s="45">
        <v>41.75</v>
      </c>
      <c r="J192" s="45">
        <v>43.25</v>
      </c>
      <c r="K192" s="45">
        <v>32.25</v>
      </c>
      <c r="L192" s="45">
        <v>43.25</v>
      </c>
      <c r="M192" s="45">
        <v>215.75</v>
      </c>
      <c r="N192" s="45">
        <v>30.75</v>
      </c>
      <c r="O192" s="45">
        <v>30.75</v>
      </c>
      <c r="P192" s="45">
        <v>129</v>
      </c>
    </row>
    <row r="193" spans="1:16" ht="15.75">
      <c r="A193" s="94" t="s">
        <v>401</v>
      </c>
      <c r="B193" s="45">
        <v>215.75</v>
      </c>
      <c r="C193" s="45">
        <v>226</v>
      </c>
      <c r="D193" s="45">
        <v>127.5</v>
      </c>
      <c r="E193" s="45">
        <v>127.5</v>
      </c>
      <c r="F193" s="45">
        <v>62.25</v>
      </c>
      <c r="G193" s="45">
        <v>21</v>
      </c>
      <c r="H193" s="45"/>
      <c r="I193" s="45">
        <v>41.75</v>
      </c>
      <c r="J193" s="45">
        <v>43.25</v>
      </c>
      <c r="K193" s="45">
        <v>32.25</v>
      </c>
      <c r="L193" s="45">
        <v>43.25</v>
      </c>
      <c r="M193" s="45">
        <v>215.75</v>
      </c>
      <c r="N193" s="45">
        <v>30.75</v>
      </c>
      <c r="O193" s="45">
        <v>30.75</v>
      </c>
      <c r="P193" s="45">
        <v>129</v>
      </c>
    </row>
    <row r="194" spans="1:16" ht="15.75">
      <c r="A194" s="94" t="s">
        <v>402</v>
      </c>
      <c r="B194" s="45">
        <v>221</v>
      </c>
      <c r="C194" s="45">
        <v>231.5</v>
      </c>
      <c r="D194" s="45">
        <v>130.75</v>
      </c>
      <c r="E194" s="45">
        <v>130.75</v>
      </c>
      <c r="F194" s="45">
        <v>63.75</v>
      </c>
      <c r="G194" s="45">
        <v>21.5</v>
      </c>
      <c r="H194" s="45"/>
      <c r="I194" s="45">
        <v>42.75</v>
      </c>
      <c r="J194" s="45">
        <v>44.25</v>
      </c>
      <c r="K194" s="45">
        <v>33</v>
      </c>
      <c r="L194" s="45">
        <v>44.25</v>
      </c>
      <c r="M194" s="45">
        <v>221</v>
      </c>
      <c r="N194" s="45">
        <v>31.5</v>
      </c>
      <c r="O194" s="45">
        <v>31.5</v>
      </c>
      <c r="P194" s="45">
        <v>132.25</v>
      </c>
    </row>
    <row r="195" spans="1:16" ht="15.75">
      <c r="A195" s="94" t="s">
        <v>404</v>
      </c>
      <c r="B195" s="45">
        <v>221</v>
      </c>
      <c r="C195" s="45">
        <v>231.5</v>
      </c>
      <c r="D195" s="45">
        <v>130.75</v>
      </c>
      <c r="E195" s="45">
        <v>130.75</v>
      </c>
      <c r="F195" s="45">
        <v>63.75</v>
      </c>
      <c r="G195" s="45">
        <v>21.5</v>
      </c>
      <c r="H195" s="45"/>
      <c r="I195" s="45">
        <v>42.75</v>
      </c>
      <c r="J195" s="45">
        <v>44.25</v>
      </c>
      <c r="K195" s="45">
        <v>33</v>
      </c>
      <c r="L195" s="45">
        <v>44.25</v>
      </c>
      <c r="M195" s="45">
        <v>221</v>
      </c>
      <c r="N195" s="45">
        <v>31.5</v>
      </c>
      <c r="O195" s="45">
        <v>31.5</v>
      </c>
      <c r="P195" s="45">
        <v>132.25</v>
      </c>
    </row>
    <row r="196" spans="1:16" ht="15.75">
      <c r="A196" s="94" t="s">
        <v>405</v>
      </c>
      <c r="B196" s="45">
        <v>221</v>
      </c>
      <c r="C196" s="45">
        <v>231.5</v>
      </c>
      <c r="D196" s="45">
        <v>130.75</v>
      </c>
      <c r="E196" s="45">
        <v>130.75</v>
      </c>
      <c r="F196" s="45">
        <v>63.75</v>
      </c>
      <c r="G196" s="45">
        <v>21.5</v>
      </c>
      <c r="H196" s="45"/>
      <c r="I196" s="45">
        <v>42.75</v>
      </c>
      <c r="J196" s="45">
        <v>44.25</v>
      </c>
      <c r="K196" s="45">
        <v>33</v>
      </c>
      <c r="L196" s="45">
        <v>44.25</v>
      </c>
      <c r="M196" s="45">
        <v>221</v>
      </c>
      <c r="N196" s="45">
        <v>31.5</v>
      </c>
      <c r="O196" s="45">
        <v>31.5</v>
      </c>
      <c r="P196" s="45">
        <v>132.25</v>
      </c>
    </row>
    <row r="197" spans="1:16" ht="15.75">
      <c r="A197" s="94" t="s">
        <v>406</v>
      </c>
      <c r="B197" s="45">
        <v>221</v>
      </c>
      <c r="C197" s="45">
        <v>231.5</v>
      </c>
      <c r="D197" s="45">
        <v>130.75</v>
      </c>
      <c r="E197" s="45">
        <v>130.75</v>
      </c>
      <c r="F197" s="45">
        <v>63.75</v>
      </c>
      <c r="G197" s="45">
        <v>21.5</v>
      </c>
      <c r="H197" s="45"/>
      <c r="I197" s="45">
        <v>42.75</v>
      </c>
      <c r="J197" s="45">
        <v>44.25</v>
      </c>
      <c r="K197" s="45">
        <v>33</v>
      </c>
      <c r="L197" s="45">
        <v>44.25</v>
      </c>
      <c r="M197" s="45">
        <v>221</v>
      </c>
      <c r="N197" s="45">
        <v>31.5</v>
      </c>
      <c r="O197" s="45">
        <v>31.5</v>
      </c>
      <c r="P197" s="45">
        <v>132.25</v>
      </c>
    </row>
    <row r="198" spans="1:16" ht="15.75">
      <c r="A198" s="94" t="s">
        <v>407</v>
      </c>
      <c r="B198" s="45">
        <v>221</v>
      </c>
      <c r="C198" s="45">
        <v>231.5</v>
      </c>
      <c r="D198" s="45">
        <v>130.75</v>
      </c>
      <c r="E198" s="45">
        <v>130.75</v>
      </c>
      <c r="F198" s="45">
        <v>63.75</v>
      </c>
      <c r="G198" s="45">
        <v>21.5</v>
      </c>
      <c r="H198" s="45"/>
      <c r="I198" s="45">
        <v>42.75</v>
      </c>
      <c r="J198" s="45">
        <v>44.25</v>
      </c>
      <c r="K198" s="45">
        <v>33</v>
      </c>
      <c r="L198" s="45">
        <v>44.25</v>
      </c>
      <c r="M198" s="45">
        <v>221</v>
      </c>
      <c r="N198" s="45">
        <v>31.5</v>
      </c>
      <c r="O198" s="45">
        <v>31.5</v>
      </c>
      <c r="P198" s="45">
        <v>132.25</v>
      </c>
    </row>
    <row r="199" spans="1:16" ht="15.75">
      <c r="A199" s="94" t="s">
        <v>408</v>
      </c>
      <c r="B199" s="45">
        <v>221</v>
      </c>
      <c r="C199" s="45">
        <v>231.5</v>
      </c>
      <c r="D199" s="45">
        <v>130.75</v>
      </c>
      <c r="E199" s="45">
        <v>130.75</v>
      </c>
      <c r="F199" s="45">
        <v>63.75</v>
      </c>
      <c r="G199" s="45">
        <v>21.5</v>
      </c>
      <c r="H199" s="45"/>
      <c r="I199" s="45">
        <v>42.75</v>
      </c>
      <c r="J199" s="45">
        <v>44.25</v>
      </c>
      <c r="K199" s="45">
        <v>33</v>
      </c>
      <c r="L199" s="45">
        <v>44.25</v>
      </c>
      <c r="M199" s="45">
        <v>221</v>
      </c>
      <c r="N199" s="45">
        <v>31.5</v>
      </c>
      <c r="O199" s="45">
        <v>31.5</v>
      </c>
      <c r="P199" s="45">
        <v>132.25</v>
      </c>
    </row>
    <row r="200" spans="1:16" ht="15.75">
      <c r="A200" s="94" t="s">
        <v>409</v>
      </c>
      <c r="B200" s="45">
        <v>222.75</v>
      </c>
      <c r="C200" s="45">
        <v>233.25</v>
      </c>
      <c r="D200" s="45">
        <v>131.75</v>
      </c>
      <c r="E200" s="45">
        <v>131.75</v>
      </c>
      <c r="F200" s="45">
        <v>64.25</v>
      </c>
      <c r="G200" s="45">
        <v>21.75</v>
      </c>
      <c r="H200" s="45"/>
      <c r="I200" s="45">
        <v>43</v>
      </c>
      <c r="J200" s="45">
        <v>44.5</v>
      </c>
      <c r="K200" s="45">
        <v>33.25</v>
      </c>
      <c r="L200" s="45">
        <v>44.5</v>
      </c>
      <c r="M200" s="45">
        <v>222.75</v>
      </c>
      <c r="N200" s="45">
        <v>31.75</v>
      </c>
      <c r="O200" s="45">
        <v>31.75</v>
      </c>
      <c r="P200" s="45">
        <v>133.25</v>
      </c>
    </row>
    <row r="201" spans="1:16" ht="15.75">
      <c r="A201" s="94" t="s">
        <v>410</v>
      </c>
      <c r="B201" s="45">
        <v>222.75</v>
      </c>
      <c r="C201" s="45">
        <v>233.25</v>
      </c>
      <c r="D201" s="45">
        <v>131.75</v>
      </c>
      <c r="E201" s="45">
        <v>131.75</v>
      </c>
      <c r="F201" s="45">
        <v>64.25</v>
      </c>
      <c r="G201" s="45">
        <v>21.75</v>
      </c>
      <c r="H201" s="45"/>
      <c r="I201" s="45">
        <v>43</v>
      </c>
      <c r="J201" s="45">
        <v>44.5</v>
      </c>
      <c r="K201" s="45">
        <v>33.25</v>
      </c>
      <c r="L201" s="45">
        <v>44.5</v>
      </c>
      <c r="M201" s="45">
        <v>222.75</v>
      </c>
      <c r="N201" s="45">
        <v>31.75</v>
      </c>
      <c r="O201" s="45">
        <v>31.75</v>
      </c>
      <c r="P201" s="45">
        <v>133.25</v>
      </c>
    </row>
    <row r="202" spans="1:16" ht="15.75">
      <c r="A202" s="94" t="s">
        <v>411</v>
      </c>
      <c r="B202" s="45">
        <v>222.75</v>
      </c>
      <c r="C202" s="45">
        <v>233.25</v>
      </c>
      <c r="D202" s="45">
        <v>131.75</v>
      </c>
      <c r="E202" s="45">
        <v>131.75</v>
      </c>
      <c r="F202" s="45">
        <v>64.25</v>
      </c>
      <c r="G202" s="45">
        <v>21.75</v>
      </c>
      <c r="H202" s="45"/>
      <c r="I202" s="45">
        <v>43</v>
      </c>
      <c r="J202" s="45">
        <v>44.5</v>
      </c>
      <c r="K202" s="45">
        <v>33.25</v>
      </c>
      <c r="L202" s="45">
        <v>44.5</v>
      </c>
      <c r="M202" s="45">
        <v>222.75</v>
      </c>
      <c r="N202" s="45">
        <v>31.75</v>
      </c>
      <c r="O202" s="45">
        <v>31.75</v>
      </c>
      <c r="P202" s="45">
        <v>133.25</v>
      </c>
    </row>
    <row r="203" spans="1:16" ht="15.75">
      <c r="A203" s="94" t="s">
        <v>412</v>
      </c>
      <c r="B203" s="45">
        <v>222.75</v>
      </c>
      <c r="C203" s="45">
        <v>233.25</v>
      </c>
      <c r="D203" s="45">
        <v>131.75</v>
      </c>
      <c r="E203" s="45">
        <v>131.75</v>
      </c>
      <c r="F203" s="45">
        <v>64.25</v>
      </c>
      <c r="G203" s="45">
        <v>21.75</v>
      </c>
      <c r="H203" s="45"/>
      <c r="I203" s="45">
        <v>43</v>
      </c>
      <c r="J203" s="45">
        <v>44.5</v>
      </c>
      <c r="K203" s="45">
        <v>33.25</v>
      </c>
      <c r="L203" s="45">
        <v>44.5</v>
      </c>
      <c r="M203" s="45">
        <v>222.75</v>
      </c>
      <c r="N203" s="45">
        <v>31.75</v>
      </c>
      <c r="O203" s="45">
        <v>31.75</v>
      </c>
      <c r="P203" s="45">
        <v>133.25</v>
      </c>
    </row>
    <row r="204" spans="1:16" ht="15.75">
      <c r="A204" s="94" t="s">
        <v>413</v>
      </c>
      <c r="B204" s="45">
        <v>222.75</v>
      </c>
      <c r="C204" s="45">
        <v>233.25</v>
      </c>
      <c r="D204" s="45">
        <v>131.75</v>
      </c>
      <c r="E204" s="45">
        <v>131.75</v>
      </c>
      <c r="F204" s="45">
        <v>64.25</v>
      </c>
      <c r="G204" s="45">
        <v>21.75</v>
      </c>
      <c r="H204" s="45"/>
      <c r="I204" s="45">
        <v>43</v>
      </c>
      <c r="J204" s="45">
        <v>44.5</v>
      </c>
      <c r="K204" s="45">
        <v>33.25</v>
      </c>
      <c r="L204" s="45">
        <v>44.5</v>
      </c>
      <c r="M204" s="45">
        <v>222.75</v>
      </c>
      <c r="N204" s="45">
        <v>31.75</v>
      </c>
      <c r="O204" s="45">
        <v>31.75</v>
      </c>
      <c r="P204" s="45">
        <v>133.25</v>
      </c>
    </row>
    <row r="205" spans="1:16" ht="15.75">
      <c r="A205" s="94" t="s">
        <v>414</v>
      </c>
      <c r="B205" s="45">
        <v>224</v>
      </c>
      <c r="C205" s="45">
        <v>234.5</v>
      </c>
      <c r="D205" s="45">
        <v>132.5</v>
      </c>
      <c r="E205" s="45">
        <v>132.5</v>
      </c>
      <c r="F205" s="45">
        <v>64.5</v>
      </c>
      <c r="G205" s="45">
        <v>21.75</v>
      </c>
      <c r="H205" s="45"/>
      <c r="I205" s="45">
        <v>43.25</v>
      </c>
      <c r="J205" s="45">
        <v>44.75</v>
      </c>
      <c r="K205" s="45">
        <v>33.5</v>
      </c>
      <c r="L205" s="45">
        <v>44.75</v>
      </c>
      <c r="M205" s="45">
        <v>224</v>
      </c>
      <c r="N205" s="45">
        <v>32</v>
      </c>
      <c r="O205" s="45">
        <v>32</v>
      </c>
      <c r="P205" s="45">
        <v>134</v>
      </c>
    </row>
    <row r="206" spans="1:16" ht="15.75">
      <c r="A206" s="94" t="s">
        <v>416</v>
      </c>
      <c r="B206" s="45">
        <v>224</v>
      </c>
      <c r="C206" s="45">
        <v>234.5</v>
      </c>
      <c r="D206" s="45">
        <v>132.5</v>
      </c>
      <c r="E206" s="45">
        <v>132.5</v>
      </c>
      <c r="F206" s="45">
        <v>64.5</v>
      </c>
      <c r="G206" s="45">
        <v>21.75</v>
      </c>
      <c r="H206" s="45"/>
      <c r="I206" s="45">
        <v>43.25</v>
      </c>
      <c r="J206" s="45">
        <v>44.75</v>
      </c>
      <c r="K206" s="45">
        <v>33.5</v>
      </c>
      <c r="L206" s="45">
        <v>44.75</v>
      </c>
      <c r="M206" s="45">
        <v>224</v>
      </c>
      <c r="N206" s="45">
        <v>32</v>
      </c>
      <c r="O206" s="45">
        <v>32</v>
      </c>
      <c r="P206" s="45">
        <v>134</v>
      </c>
    </row>
    <row r="207" spans="1:16" ht="15.75">
      <c r="A207" s="94" t="s">
        <v>418</v>
      </c>
      <c r="B207" s="45">
        <v>224</v>
      </c>
      <c r="C207" s="45">
        <v>234.5</v>
      </c>
      <c r="D207" s="45">
        <v>132.5</v>
      </c>
      <c r="E207" s="45">
        <v>132.5</v>
      </c>
      <c r="F207" s="45">
        <v>64.5</v>
      </c>
      <c r="G207" s="45">
        <v>21.75</v>
      </c>
      <c r="H207" s="45"/>
      <c r="I207" s="45">
        <v>43.25</v>
      </c>
      <c r="J207" s="45">
        <v>44.75</v>
      </c>
      <c r="K207" s="45">
        <v>33.5</v>
      </c>
      <c r="L207" s="45">
        <v>44.75</v>
      </c>
      <c r="M207" s="45">
        <v>224</v>
      </c>
      <c r="N207" s="45">
        <v>32</v>
      </c>
      <c r="O207" s="45">
        <v>32</v>
      </c>
      <c r="P207" s="45">
        <v>134</v>
      </c>
    </row>
    <row r="208" spans="1:16" ht="15.75">
      <c r="A208" s="94" t="s">
        <v>420</v>
      </c>
      <c r="B208" s="45">
        <v>224</v>
      </c>
      <c r="C208" s="45">
        <v>234.5</v>
      </c>
      <c r="D208" s="45">
        <v>132.5</v>
      </c>
      <c r="E208" s="45">
        <v>132.5</v>
      </c>
      <c r="F208" s="45">
        <v>64.5</v>
      </c>
      <c r="G208" s="45">
        <v>21.75</v>
      </c>
      <c r="H208" s="45"/>
      <c r="I208" s="45">
        <v>43.25</v>
      </c>
      <c r="J208" s="45">
        <v>44.75</v>
      </c>
      <c r="K208" s="45">
        <v>33.5</v>
      </c>
      <c r="L208" s="45">
        <v>44.75</v>
      </c>
      <c r="M208" s="45">
        <v>224</v>
      </c>
      <c r="N208" s="45">
        <v>32</v>
      </c>
      <c r="O208" s="45">
        <v>32</v>
      </c>
      <c r="P208" s="45">
        <v>134</v>
      </c>
    </row>
    <row r="209" spans="1:16" ht="15.75">
      <c r="A209" s="95" t="s">
        <v>421</v>
      </c>
      <c r="B209" s="7">
        <v>223.75</v>
      </c>
      <c r="C209" s="7">
        <v>234.25</v>
      </c>
      <c r="D209" s="45">
        <v>132.5</v>
      </c>
      <c r="E209" s="45">
        <v>132.5</v>
      </c>
      <c r="F209" s="45">
        <v>64.5</v>
      </c>
      <c r="G209" s="45">
        <v>21.75</v>
      </c>
      <c r="H209" s="45"/>
      <c r="I209" s="45">
        <v>43.25</v>
      </c>
      <c r="J209" s="45">
        <v>44.75</v>
      </c>
      <c r="K209" s="45">
        <v>33.5</v>
      </c>
      <c r="L209" s="45">
        <v>44.75</v>
      </c>
      <c r="M209" s="7">
        <v>223.75</v>
      </c>
      <c r="N209" s="45">
        <v>32</v>
      </c>
      <c r="O209" s="45">
        <v>32</v>
      </c>
      <c r="P209" s="45">
        <v>134</v>
      </c>
    </row>
    <row r="210" spans="1:16" ht="15.75">
      <c r="A210" s="96" t="s">
        <v>422</v>
      </c>
      <c r="B210" s="7">
        <v>223.75</v>
      </c>
      <c r="C210" s="7">
        <v>234.25</v>
      </c>
      <c r="D210" s="45">
        <v>132.5</v>
      </c>
      <c r="E210" s="45">
        <v>132.5</v>
      </c>
      <c r="F210" s="45">
        <v>64.5</v>
      </c>
      <c r="G210" s="45">
        <v>21.75</v>
      </c>
      <c r="H210" s="45"/>
      <c r="I210" s="45">
        <v>43.25</v>
      </c>
      <c r="J210" s="45">
        <v>44.75</v>
      </c>
      <c r="K210" s="45">
        <v>33.5</v>
      </c>
      <c r="L210" s="45">
        <v>44.75</v>
      </c>
      <c r="M210" s="7">
        <v>223.75</v>
      </c>
      <c r="N210" s="45">
        <v>32</v>
      </c>
      <c r="O210" s="45">
        <v>32</v>
      </c>
      <c r="P210" s="45">
        <v>134</v>
      </c>
    </row>
    <row r="211" spans="1:16" ht="15.75">
      <c r="A211" s="95" t="s">
        <v>423</v>
      </c>
      <c r="B211" s="7">
        <v>223.75</v>
      </c>
      <c r="C211" s="7">
        <v>234.25</v>
      </c>
      <c r="D211" s="45">
        <v>132.5</v>
      </c>
      <c r="E211" s="45">
        <v>132.5</v>
      </c>
      <c r="F211" s="45">
        <v>64.5</v>
      </c>
      <c r="G211" s="45">
        <v>21.75</v>
      </c>
      <c r="H211" s="45"/>
      <c r="I211" s="45">
        <v>43.25</v>
      </c>
      <c r="J211" s="45">
        <v>44.75</v>
      </c>
      <c r="K211" s="45">
        <v>33.5</v>
      </c>
      <c r="L211" s="45">
        <v>44.75</v>
      </c>
      <c r="M211" s="7">
        <v>223.75</v>
      </c>
      <c r="N211" s="45">
        <v>32</v>
      </c>
      <c r="O211" s="45">
        <v>32</v>
      </c>
      <c r="P211" s="45">
        <v>134</v>
      </c>
    </row>
    <row r="212" spans="1:16" ht="15.75">
      <c r="A212" s="95" t="s">
        <v>424</v>
      </c>
      <c r="B212" s="7">
        <v>223.75</v>
      </c>
      <c r="C212" s="7">
        <v>234.25</v>
      </c>
      <c r="D212" s="45">
        <v>132.5</v>
      </c>
      <c r="E212" s="45">
        <v>132.5</v>
      </c>
      <c r="F212" s="45">
        <v>64.5</v>
      </c>
      <c r="G212" s="45">
        <v>21.75</v>
      </c>
      <c r="H212" s="45"/>
      <c r="I212" s="45">
        <v>43.25</v>
      </c>
      <c r="J212" s="45">
        <v>44.75</v>
      </c>
      <c r="K212" s="45">
        <v>33.5</v>
      </c>
      <c r="L212" s="45">
        <v>44.75</v>
      </c>
      <c r="M212" s="7">
        <v>223.75</v>
      </c>
      <c r="N212" s="45">
        <v>32</v>
      </c>
      <c r="O212" s="45">
        <v>32</v>
      </c>
      <c r="P212" s="45">
        <v>134</v>
      </c>
    </row>
    <row r="213" spans="1:16" ht="15.75">
      <c r="A213" s="95" t="s">
        <v>425</v>
      </c>
      <c r="B213" s="7">
        <v>228.25</v>
      </c>
      <c r="C213" s="7">
        <v>239</v>
      </c>
      <c r="D213" s="7">
        <v>135.25</v>
      </c>
      <c r="E213" s="7">
        <v>135.25</v>
      </c>
      <c r="F213" s="7">
        <v>65.75</v>
      </c>
      <c r="G213" s="7">
        <v>22.25</v>
      </c>
      <c r="H213" s="7"/>
      <c r="I213" s="7">
        <v>42.25</v>
      </c>
      <c r="J213" s="7">
        <v>45.75</v>
      </c>
      <c r="K213" s="7">
        <v>34.25</v>
      </c>
      <c r="L213" s="7">
        <v>45.75</v>
      </c>
      <c r="M213" s="7">
        <v>228.25</v>
      </c>
      <c r="N213" s="7">
        <v>32.75</v>
      </c>
      <c r="O213" s="7">
        <v>32.75</v>
      </c>
      <c r="P213" s="7">
        <v>136.75</v>
      </c>
    </row>
    <row r="214" spans="1:16" ht="15.75">
      <c r="A214" s="96" t="s">
        <v>426</v>
      </c>
      <c r="B214" s="7">
        <v>228.25</v>
      </c>
      <c r="C214" s="7">
        <v>239</v>
      </c>
      <c r="D214" s="7">
        <v>135.25</v>
      </c>
      <c r="E214" s="7">
        <v>135.25</v>
      </c>
      <c r="F214" s="7">
        <v>65.75</v>
      </c>
      <c r="G214" s="7">
        <v>22.25</v>
      </c>
      <c r="H214" s="7"/>
      <c r="I214" s="7">
        <v>42.25</v>
      </c>
      <c r="J214" s="7">
        <v>45.75</v>
      </c>
      <c r="K214" s="7">
        <v>34.25</v>
      </c>
      <c r="L214" s="7">
        <v>45.75</v>
      </c>
      <c r="M214" s="7">
        <v>228.25</v>
      </c>
      <c r="N214" s="7">
        <v>32.75</v>
      </c>
      <c r="O214" s="7">
        <v>32.75</v>
      </c>
      <c r="P214" s="7">
        <v>136.75</v>
      </c>
    </row>
    <row r="215" spans="1:16" ht="15.75">
      <c r="A215" s="96" t="s">
        <v>427</v>
      </c>
      <c r="B215" s="7">
        <v>228.25</v>
      </c>
      <c r="C215" s="7">
        <v>239</v>
      </c>
      <c r="D215" s="7">
        <v>135.25</v>
      </c>
      <c r="E215" s="7">
        <v>135.25</v>
      </c>
      <c r="F215" s="7">
        <v>65.75</v>
      </c>
      <c r="G215" s="7">
        <v>22.25</v>
      </c>
      <c r="H215" s="7"/>
      <c r="I215" s="7">
        <v>42.25</v>
      </c>
      <c r="J215" s="7">
        <v>45.75</v>
      </c>
      <c r="K215" s="7">
        <v>34.25</v>
      </c>
      <c r="L215" s="7">
        <v>45.75</v>
      </c>
      <c r="M215" s="7">
        <v>228.25</v>
      </c>
      <c r="N215" s="7">
        <v>32.75</v>
      </c>
      <c r="O215" s="7">
        <v>32.75</v>
      </c>
      <c r="P215" s="7">
        <v>136.75</v>
      </c>
    </row>
    <row r="216" spans="1:16" ht="15.75">
      <c r="A216" s="95" t="s">
        <v>428</v>
      </c>
      <c r="B216" s="7">
        <v>228.25</v>
      </c>
      <c r="C216" s="7">
        <v>239</v>
      </c>
      <c r="D216" s="7">
        <v>135.25</v>
      </c>
      <c r="E216" s="7">
        <v>135.25</v>
      </c>
      <c r="F216" s="7">
        <v>65.75</v>
      </c>
      <c r="G216" s="7">
        <v>22.25</v>
      </c>
      <c r="H216" s="7"/>
      <c r="I216" s="7">
        <v>42.25</v>
      </c>
      <c r="J216" s="7">
        <v>45.75</v>
      </c>
      <c r="K216" s="7">
        <v>34.25</v>
      </c>
      <c r="L216" s="7">
        <v>45.75</v>
      </c>
      <c r="M216" s="7">
        <v>228.25</v>
      </c>
      <c r="N216" s="7">
        <v>32.75</v>
      </c>
      <c r="O216" s="7">
        <v>32.75</v>
      </c>
      <c r="P216" s="7">
        <v>136.75</v>
      </c>
    </row>
    <row r="217" spans="1:16" ht="15.75">
      <c r="A217" s="95" t="s">
        <v>429</v>
      </c>
      <c r="B217" s="7">
        <v>228.25</v>
      </c>
      <c r="C217" s="7">
        <v>239</v>
      </c>
      <c r="D217" s="7">
        <v>135.25</v>
      </c>
      <c r="E217" s="7">
        <v>135.25</v>
      </c>
      <c r="F217" s="7">
        <v>65.75</v>
      </c>
      <c r="G217" s="7">
        <v>22.25</v>
      </c>
      <c r="H217" s="7"/>
      <c r="I217" s="7">
        <v>42.25</v>
      </c>
      <c r="J217" s="7">
        <v>45.75</v>
      </c>
      <c r="K217" s="7">
        <v>34.25</v>
      </c>
      <c r="L217" s="7">
        <v>45.75</v>
      </c>
      <c r="M217" s="7">
        <v>228.25</v>
      </c>
      <c r="N217" s="7">
        <v>32.75</v>
      </c>
      <c r="O217" s="7">
        <v>32.75</v>
      </c>
      <c r="P217" s="7">
        <v>136.75</v>
      </c>
    </row>
    <row r="218" spans="1:16" ht="15.75">
      <c r="A218" s="96" t="s">
        <v>430</v>
      </c>
      <c r="B218" s="7">
        <v>228.25</v>
      </c>
      <c r="C218" s="7">
        <v>239</v>
      </c>
      <c r="D218" s="7">
        <v>135.25</v>
      </c>
      <c r="E218" s="7">
        <v>135.25</v>
      </c>
      <c r="F218" s="7">
        <v>65.75</v>
      </c>
      <c r="G218" s="7">
        <v>22.25</v>
      </c>
      <c r="H218" s="7"/>
      <c r="I218" s="7">
        <v>42.25</v>
      </c>
      <c r="J218" s="7">
        <v>45.75</v>
      </c>
      <c r="K218" s="7">
        <v>34.25</v>
      </c>
      <c r="L218" s="7">
        <v>45.75</v>
      </c>
      <c r="M218" s="7">
        <v>228.25</v>
      </c>
      <c r="N218" s="7">
        <v>32.75</v>
      </c>
      <c r="O218" s="7">
        <v>32.75</v>
      </c>
      <c r="P218" s="7">
        <v>136.75</v>
      </c>
    </row>
    <row r="219" spans="1:16" ht="15.75">
      <c r="A219" s="96" t="s">
        <v>431</v>
      </c>
      <c r="B219" s="7">
        <v>233</v>
      </c>
      <c r="C219" s="7">
        <v>244</v>
      </c>
      <c r="D219" s="7">
        <v>138</v>
      </c>
      <c r="E219" s="7">
        <v>138</v>
      </c>
      <c r="F219" s="7">
        <v>67</v>
      </c>
      <c r="G219" s="7">
        <v>22.75</v>
      </c>
      <c r="H219" s="7"/>
      <c r="I219" s="7">
        <v>45.25</v>
      </c>
      <c r="J219" s="7">
        <v>46.75</v>
      </c>
      <c r="K219" s="7">
        <v>35</v>
      </c>
      <c r="L219" s="7">
        <v>46.75</v>
      </c>
      <c r="M219" s="7">
        <v>233</v>
      </c>
      <c r="N219" s="7">
        <v>33.5</v>
      </c>
      <c r="O219" s="7">
        <v>33.5</v>
      </c>
      <c r="P219" s="7">
        <v>139.5</v>
      </c>
    </row>
    <row r="220" spans="1:16" ht="15.75">
      <c r="A220" s="96" t="s">
        <v>432</v>
      </c>
      <c r="B220" s="7">
        <v>233</v>
      </c>
      <c r="C220" s="7">
        <v>244</v>
      </c>
      <c r="D220" s="7">
        <v>138</v>
      </c>
      <c r="E220" s="7">
        <v>138</v>
      </c>
      <c r="F220" s="7">
        <v>67</v>
      </c>
      <c r="G220" s="7">
        <v>22.75</v>
      </c>
      <c r="H220" s="7"/>
      <c r="I220" s="7">
        <v>45.25</v>
      </c>
      <c r="J220" s="7">
        <v>46.75</v>
      </c>
      <c r="K220" s="7">
        <v>35</v>
      </c>
      <c r="L220" s="7">
        <v>46.75</v>
      </c>
      <c r="M220" s="7">
        <v>233</v>
      </c>
      <c r="N220" s="7">
        <v>33.5</v>
      </c>
      <c r="O220" s="7">
        <v>33.5</v>
      </c>
      <c r="P220" s="7">
        <v>139.5</v>
      </c>
    </row>
    <row r="221" spans="1:16" ht="15.75">
      <c r="A221" s="96" t="s">
        <v>433</v>
      </c>
      <c r="B221" s="7">
        <v>233</v>
      </c>
      <c r="C221" s="7">
        <v>244</v>
      </c>
      <c r="D221" s="7">
        <v>138</v>
      </c>
      <c r="E221" s="7">
        <v>138</v>
      </c>
      <c r="F221" s="7">
        <v>67</v>
      </c>
      <c r="G221" s="7">
        <v>22.75</v>
      </c>
      <c r="H221" s="7"/>
      <c r="I221" s="7">
        <v>45.25</v>
      </c>
      <c r="J221" s="7">
        <v>46.75</v>
      </c>
      <c r="K221" s="7">
        <v>35</v>
      </c>
      <c r="L221" s="7">
        <v>46.75</v>
      </c>
      <c r="M221" s="7">
        <v>233</v>
      </c>
      <c r="N221" s="7">
        <v>33.5</v>
      </c>
      <c r="O221" s="7">
        <v>33.5</v>
      </c>
      <c r="P221" s="7">
        <v>139.5</v>
      </c>
    </row>
    <row r="222" spans="1:16" ht="15.75">
      <c r="A222" s="96" t="s">
        <v>434</v>
      </c>
      <c r="B222" s="7">
        <v>235.5</v>
      </c>
      <c r="C222" s="7">
        <v>246.75</v>
      </c>
      <c r="D222" s="7">
        <v>139.5</v>
      </c>
      <c r="E222" s="7">
        <v>139.5</v>
      </c>
      <c r="F222" s="7">
        <v>67.75</v>
      </c>
      <c r="G222" s="7">
        <v>23</v>
      </c>
      <c r="H222" s="7"/>
      <c r="I222" s="7">
        <v>45.75</v>
      </c>
      <c r="J222" s="7">
        <v>47.25</v>
      </c>
      <c r="K222" s="7">
        <v>35.5</v>
      </c>
      <c r="L222" s="7">
        <v>47.25</v>
      </c>
      <c r="M222" s="7">
        <v>235.5</v>
      </c>
      <c r="N222" s="7">
        <v>33.75</v>
      </c>
      <c r="O222" s="7">
        <v>33.75</v>
      </c>
      <c r="P222" s="7">
        <v>141</v>
      </c>
    </row>
    <row r="223" spans="1:16" ht="15.75">
      <c r="A223" s="96" t="s">
        <v>435</v>
      </c>
      <c r="B223" s="7">
        <v>235.5</v>
      </c>
      <c r="C223" s="7">
        <v>246.75</v>
      </c>
      <c r="D223" s="7">
        <v>139.5</v>
      </c>
      <c r="E223" s="7">
        <v>139.5</v>
      </c>
      <c r="F223" s="7">
        <v>67.75</v>
      </c>
      <c r="G223" s="7">
        <v>23</v>
      </c>
      <c r="H223" s="7"/>
      <c r="I223" s="7">
        <v>45.75</v>
      </c>
      <c r="J223" s="7">
        <v>47.25</v>
      </c>
      <c r="K223" s="7">
        <v>35.5</v>
      </c>
      <c r="L223" s="7">
        <v>47.25</v>
      </c>
      <c r="M223" s="7">
        <v>235.5</v>
      </c>
      <c r="N223" s="7">
        <v>33.75</v>
      </c>
      <c r="O223" s="7">
        <v>33.75</v>
      </c>
      <c r="P223" s="7">
        <v>141</v>
      </c>
    </row>
    <row r="224" spans="1:16" ht="15.75">
      <c r="A224" s="96" t="s">
        <v>437</v>
      </c>
      <c r="B224" s="7">
        <v>235.5</v>
      </c>
      <c r="C224" s="7">
        <v>246.75</v>
      </c>
      <c r="D224" s="7">
        <v>139.5</v>
      </c>
      <c r="E224" s="7">
        <v>139.5</v>
      </c>
      <c r="F224" s="7">
        <v>67.75</v>
      </c>
      <c r="G224" s="7">
        <v>23</v>
      </c>
      <c r="H224" s="7"/>
      <c r="I224" s="7">
        <v>45.75</v>
      </c>
      <c r="J224" s="7">
        <v>47.25</v>
      </c>
      <c r="K224" s="7">
        <v>35.5</v>
      </c>
      <c r="L224" s="7">
        <v>47.25</v>
      </c>
      <c r="M224" s="7">
        <v>235.5</v>
      </c>
      <c r="N224" s="7">
        <v>33.75</v>
      </c>
      <c r="O224" s="7">
        <v>33.75</v>
      </c>
      <c r="P224" s="7">
        <v>141</v>
      </c>
    </row>
    <row r="225" spans="1:16" ht="15.75">
      <c r="A225" s="96" t="s">
        <v>438</v>
      </c>
      <c r="B225" s="7">
        <v>235.5</v>
      </c>
      <c r="C225" s="7">
        <v>246.75</v>
      </c>
      <c r="D225" s="7">
        <v>139.5</v>
      </c>
      <c r="E225" s="7">
        <v>139.5</v>
      </c>
      <c r="F225" s="7">
        <v>67.75</v>
      </c>
      <c r="G225" s="7">
        <v>23</v>
      </c>
      <c r="H225" s="7"/>
      <c r="I225" s="7">
        <v>45.75</v>
      </c>
      <c r="J225" s="7">
        <v>47.25</v>
      </c>
      <c r="K225" s="7">
        <v>35.5</v>
      </c>
      <c r="L225" s="7">
        <v>47.25</v>
      </c>
      <c r="M225" s="7">
        <v>235.5</v>
      </c>
      <c r="N225" s="7">
        <v>33.75</v>
      </c>
      <c r="O225" s="7">
        <v>33.75</v>
      </c>
      <c r="P225" s="7">
        <v>141</v>
      </c>
    </row>
    <row r="226" spans="1:16" ht="15.75">
      <c r="A226" s="96" t="s">
        <v>439</v>
      </c>
      <c r="B226" s="7">
        <v>235</v>
      </c>
      <c r="C226" s="7">
        <v>246.25</v>
      </c>
      <c r="D226" s="7">
        <v>139.25</v>
      </c>
      <c r="E226" s="7">
        <v>139.25</v>
      </c>
      <c r="F226" s="7">
        <v>67.25</v>
      </c>
      <c r="G226" s="7">
        <v>23</v>
      </c>
      <c r="H226" s="7"/>
      <c r="I226" s="7">
        <v>45.75</v>
      </c>
      <c r="J226" s="7">
        <v>47.25</v>
      </c>
      <c r="K226" s="7">
        <v>35.5</v>
      </c>
      <c r="L226" s="7">
        <v>47.25</v>
      </c>
      <c r="M226" s="7">
        <v>235.5</v>
      </c>
      <c r="N226" s="7">
        <v>33.75</v>
      </c>
      <c r="O226" s="7">
        <v>33.75</v>
      </c>
      <c r="P226" s="7">
        <v>140.75</v>
      </c>
    </row>
    <row r="227" spans="1:16" ht="15.75">
      <c r="A227" s="96" t="s">
        <v>440</v>
      </c>
      <c r="B227" s="7">
        <v>235</v>
      </c>
      <c r="C227" s="7">
        <v>246.25</v>
      </c>
      <c r="D227" s="7">
        <v>139.25</v>
      </c>
      <c r="E227" s="7">
        <v>139.25</v>
      </c>
      <c r="F227" s="7">
        <v>67.25</v>
      </c>
      <c r="G227" s="7">
        <v>23</v>
      </c>
      <c r="H227" s="7"/>
      <c r="I227" s="7">
        <v>45.75</v>
      </c>
      <c r="J227" s="7">
        <v>47.25</v>
      </c>
      <c r="K227" s="7">
        <v>35.5</v>
      </c>
      <c r="L227" s="7">
        <v>47.25</v>
      </c>
      <c r="M227" s="7">
        <v>235</v>
      </c>
      <c r="N227" s="7">
        <v>33.75</v>
      </c>
      <c r="O227" s="7">
        <v>33.75</v>
      </c>
      <c r="P227" s="7">
        <v>140.75</v>
      </c>
    </row>
    <row r="228" spans="1:16" ht="15.75">
      <c r="A228" s="96" t="s">
        <v>441</v>
      </c>
      <c r="B228" s="7">
        <v>235</v>
      </c>
      <c r="C228" s="7">
        <v>246.25</v>
      </c>
      <c r="D228" s="7">
        <v>139.25</v>
      </c>
      <c r="E228" s="7">
        <v>139.25</v>
      </c>
      <c r="F228" s="7">
        <v>67.25</v>
      </c>
      <c r="G228" s="7">
        <v>23</v>
      </c>
      <c r="H228" s="7"/>
      <c r="I228" s="7">
        <v>45.75</v>
      </c>
      <c r="J228" s="7">
        <v>47.25</v>
      </c>
      <c r="K228" s="7">
        <v>35.5</v>
      </c>
      <c r="L228" s="7">
        <v>47.25</v>
      </c>
      <c r="M228" s="7">
        <v>235</v>
      </c>
      <c r="N228" s="7">
        <v>33.75</v>
      </c>
      <c r="O228" s="7">
        <v>33.75</v>
      </c>
      <c r="P228" s="7">
        <v>140.75</v>
      </c>
    </row>
    <row r="229" spans="1:16" ht="15.75">
      <c r="A229" s="96" t="s">
        <v>444</v>
      </c>
      <c r="B229" s="7">
        <v>235</v>
      </c>
      <c r="C229" s="7">
        <v>246.25</v>
      </c>
      <c r="D229" s="7">
        <v>139.25</v>
      </c>
      <c r="E229" s="7">
        <v>139.25</v>
      </c>
      <c r="F229" s="7">
        <v>67.25</v>
      </c>
      <c r="G229" s="7">
        <v>23</v>
      </c>
      <c r="H229" s="7"/>
      <c r="I229" s="7">
        <v>45.75</v>
      </c>
      <c r="J229" s="7">
        <v>47.25</v>
      </c>
      <c r="K229" s="7">
        <v>35.5</v>
      </c>
      <c r="L229" s="7">
        <v>47.25</v>
      </c>
      <c r="M229" s="7">
        <v>235</v>
      </c>
      <c r="N229" s="7">
        <v>33.75</v>
      </c>
      <c r="O229" s="7">
        <v>33.75</v>
      </c>
      <c r="P229" s="7">
        <v>140.75</v>
      </c>
    </row>
    <row r="230" spans="1:16" ht="15.75">
      <c r="A230" s="96" t="s">
        <v>446</v>
      </c>
      <c r="B230" s="7">
        <v>235</v>
      </c>
      <c r="C230" s="7">
        <v>246.25</v>
      </c>
      <c r="D230" s="7">
        <v>139.25</v>
      </c>
      <c r="E230" s="7">
        <v>139.25</v>
      </c>
      <c r="F230" s="7">
        <v>67.25</v>
      </c>
      <c r="G230" s="7">
        <v>23</v>
      </c>
      <c r="H230" s="7"/>
      <c r="I230" s="7">
        <v>45.75</v>
      </c>
      <c r="J230" s="7">
        <v>47.25</v>
      </c>
      <c r="K230" s="7">
        <v>35.5</v>
      </c>
      <c r="L230" s="7">
        <v>47.25</v>
      </c>
      <c r="M230" s="7">
        <v>235</v>
      </c>
      <c r="N230" s="7">
        <v>33.75</v>
      </c>
      <c r="O230" s="7">
        <v>33.75</v>
      </c>
      <c r="P230" s="7">
        <v>140.75</v>
      </c>
    </row>
    <row r="231" spans="1:16" ht="15.75">
      <c r="A231" s="96" t="s">
        <v>447</v>
      </c>
      <c r="B231" s="7">
        <v>235</v>
      </c>
      <c r="C231" s="7">
        <v>246.25</v>
      </c>
      <c r="D231" s="7">
        <v>139.25</v>
      </c>
      <c r="E231" s="7">
        <v>139.25</v>
      </c>
      <c r="F231" s="7">
        <v>67.25</v>
      </c>
      <c r="G231" s="7">
        <v>23</v>
      </c>
      <c r="H231" s="7"/>
      <c r="I231" s="7">
        <v>45.75</v>
      </c>
      <c r="J231" s="7">
        <v>47.25</v>
      </c>
      <c r="K231" s="7">
        <v>35.5</v>
      </c>
      <c r="L231" s="7">
        <v>47.25</v>
      </c>
      <c r="M231" s="7">
        <v>235</v>
      </c>
      <c r="N231" s="7">
        <v>33.75</v>
      </c>
      <c r="O231" s="7">
        <v>33.75</v>
      </c>
      <c r="P231" s="7">
        <v>140.75</v>
      </c>
    </row>
    <row r="232" spans="1:16" ht="15.75">
      <c r="A232" s="96" t="s">
        <v>449</v>
      </c>
      <c r="B232" s="7">
        <v>235</v>
      </c>
      <c r="C232" s="7">
        <v>246.25</v>
      </c>
      <c r="D232" s="7">
        <v>139.25</v>
      </c>
      <c r="E232" s="7">
        <v>139.25</v>
      </c>
      <c r="F232" s="7">
        <v>67.25</v>
      </c>
      <c r="G232" s="7">
        <v>23</v>
      </c>
      <c r="H232" s="7"/>
      <c r="I232" s="7">
        <v>45.75</v>
      </c>
      <c r="J232" s="7">
        <v>47.25</v>
      </c>
      <c r="K232" s="7">
        <v>35.5</v>
      </c>
      <c r="L232" s="7">
        <v>47.25</v>
      </c>
      <c r="M232" s="7">
        <v>235</v>
      </c>
      <c r="N232" s="7">
        <v>33.75</v>
      </c>
      <c r="O232" s="7">
        <v>33.75</v>
      </c>
      <c r="P232" s="7">
        <v>140.75</v>
      </c>
    </row>
    <row r="233" spans="1:16" ht="15.75">
      <c r="A233" s="96" t="s">
        <v>450</v>
      </c>
      <c r="B233" s="7">
        <v>235.25</v>
      </c>
      <c r="C233" s="7">
        <v>246.5</v>
      </c>
      <c r="D233" s="7">
        <v>139.25</v>
      </c>
      <c r="E233" s="7">
        <v>139.25</v>
      </c>
      <c r="F233" s="7">
        <v>67.25</v>
      </c>
      <c r="G233" s="7">
        <v>23</v>
      </c>
      <c r="H233" s="7"/>
      <c r="I233" s="7">
        <v>45.75</v>
      </c>
      <c r="J233" s="7">
        <v>47.25</v>
      </c>
      <c r="K233" s="7">
        <v>35.5</v>
      </c>
      <c r="L233" s="7">
        <v>47.25</v>
      </c>
      <c r="M233" s="7">
        <v>235.25</v>
      </c>
      <c r="N233" s="7">
        <v>33.75</v>
      </c>
      <c r="O233" s="7">
        <v>33.75</v>
      </c>
      <c r="P233" s="7">
        <v>140.75</v>
      </c>
    </row>
    <row r="234" spans="1:16" ht="15.75">
      <c r="A234" s="96" t="s">
        <v>451</v>
      </c>
      <c r="B234" s="7">
        <v>235.25</v>
      </c>
      <c r="C234" s="7">
        <v>246.5</v>
      </c>
      <c r="D234" s="7">
        <v>139.25</v>
      </c>
      <c r="E234" s="7">
        <v>139.25</v>
      </c>
      <c r="F234" s="7">
        <v>67.25</v>
      </c>
      <c r="G234" s="7">
        <v>23</v>
      </c>
      <c r="H234" s="7"/>
      <c r="I234" s="7">
        <v>45.75</v>
      </c>
      <c r="J234" s="7">
        <v>47.25</v>
      </c>
      <c r="K234" s="7">
        <v>35.5</v>
      </c>
      <c r="L234" s="7">
        <v>47.25</v>
      </c>
      <c r="M234" s="7">
        <v>235.25</v>
      </c>
      <c r="N234" s="7">
        <v>33.75</v>
      </c>
      <c r="O234" s="7">
        <v>33.75</v>
      </c>
      <c r="P234" s="7">
        <v>140.75</v>
      </c>
    </row>
    <row r="235" spans="1:16" ht="15.75">
      <c r="A235" s="96" t="s">
        <v>452</v>
      </c>
      <c r="B235" s="7">
        <v>235.25</v>
      </c>
      <c r="C235" s="7">
        <v>246.5</v>
      </c>
      <c r="D235" s="7">
        <v>139.25</v>
      </c>
      <c r="E235" s="7">
        <v>139.25</v>
      </c>
      <c r="F235" s="7">
        <v>67.25</v>
      </c>
      <c r="G235" s="7">
        <v>23</v>
      </c>
      <c r="H235" s="7"/>
      <c r="I235" s="7">
        <v>45.75</v>
      </c>
      <c r="J235" s="7">
        <v>47.25</v>
      </c>
      <c r="K235" s="7">
        <v>35.5</v>
      </c>
      <c r="L235" s="7">
        <v>47.25</v>
      </c>
      <c r="M235" s="7">
        <v>235.25</v>
      </c>
      <c r="N235" s="7">
        <v>33.75</v>
      </c>
      <c r="O235" s="7">
        <v>33.75</v>
      </c>
      <c r="P235" s="7">
        <v>140.75</v>
      </c>
    </row>
    <row r="236" spans="1:16" ht="15.75">
      <c r="A236" s="96" t="s">
        <v>453</v>
      </c>
      <c r="B236" s="7">
        <v>235.25</v>
      </c>
      <c r="C236" s="7">
        <v>246.5</v>
      </c>
      <c r="D236" s="7">
        <v>139.25</v>
      </c>
      <c r="E236" s="7">
        <v>139.25</v>
      </c>
      <c r="F236" s="7">
        <v>67.25</v>
      </c>
      <c r="G236" s="7">
        <v>23</v>
      </c>
      <c r="H236" s="7"/>
      <c r="I236" s="7">
        <v>45.75</v>
      </c>
      <c r="J236" s="7">
        <v>47.25</v>
      </c>
      <c r="K236" s="7">
        <v>35.5</v>
      </c>
      <c r="L236" s="7">
        <v>47.25</v>
      </c>
      <c r="M236" s="7">
        <v>235.25</v>
      </c>
      <c r="N236" s="7">
        <v>33.75</v>
      </c>
      <c r="O236" s="7">
        <v>33.75</v>
      </c>
      <c r="P236" s="7">
        <v>140.75</v>
      </c>
    </row>
    <row r="237" spans="1:16" ht="15.75">
      <c r="A237" s="96" t="s">
        <v>454</v>
      </c>
      <c r="B237" s="7">
        <v>235.25</v>
      </c>
      <c r="C237" s="7">
        <v>246.5</v>
      </c>
      <c r="D237" s="7">
        <v>139.25</v>
      </c>
      <c r="E237" s="7">
        <v>139.25</v>
      </c>
      <c r="F237" s="7">
        <v>67.25</v>
      </c>
      <c r="G237" s="7">
        <v>23</v>
      </c>
      <c r="H237" s="7"/>
      <c r="I237" s="7">
        <v>45.75</v>
      </c>
      <c r="J237" s="7">
        <v>47.25</v>
      </c>
      <c r="K237" s="7">
        <v>35.5</v>
      </c>
      <c r="L237" s="7">
        <v>47.25</v>
      </c>
      <c r="M237" s="7">
        <v>235.25</v>
      </c>
      <c r="N237" s="7">
        <v>33.75</v>
      </c>
      <c r="O237" s="7">
        <v>33.75</v>
      </c>
      <c r="P237" s="7">
        <v>140.75</v>
      </c>
    </row>
    <row r="238" spans="1:16" ht="15.75">
      <c r="A238" s="96" t="s">
        <v>455</v>
      </c>
      <c r="B238" s="7">
        <v>235.25</v>
      </c>
      <c r="C238" s="7">
        <v>246.5</v>
      </c>
      <c r="D238" s="7">
        <v>139.25</v>
      </c>
      <c r="E238" s="7">
        <v>139.25</v>
      </c>
      <c r="F238" s="7">
        <v>67.25</v>
      </c>
      <c r="G238" s="7">
        <v>23</v>
      </c>
      <c r="H238" s="7"/>
      <c r="I238" s="7">
        <v>45.75</v>
      </c>
      <c r="J238" s="7">
        <v>47.25</v>
      </c>
      <c r="K238" s="7">
        <v>35.5</v>
      </c>
      <c r="L238" s="7">
        <v>47.25</v>
      </c>
      <c r="M238" s="7">
        <v>235.25</v>
      </c>
      <c r="N238" s="7">
        <v>33.75</v>
      </c>
      <c r="O238" s="7">
        <v>33.75</v>
      </c>
      <c r="P238" s="7">
        <v>140.75</v>
      </c>
    </row>
    <row r="239" spans="1:16" ht="15.75">
      <c r="A239" s="96" t="s">
        <v>457</v>
      </c>
      <c r="B239" s="8">
        <v>233.5</v>
      </c>
      <c r="C239" s="8">
        <v>244.5</v>
      </c>
      <c r="D239" s="8">
        <v>138.25</v>
      </c>
      <c r="E239" s="8">
        <v>138.25</v>
      </c>
      <c r="F239" s="8">
        <v>66.75</v>
      </c>
      <c r="G239" s="8">
        <v>22.75</v>
      </c>
      <c r="H239" s="8"/>
      <c r="I239" s="8">
        <v>45.5</v>
      </c>
      <c r="J239" s="8">
        <v>47</v>
      </c>
      <c r="K239" s="8">
        <v>35.25</v>
      </c>
      <c r="L239" s="8">
        <v>47</v>
      </c>
      <c r="M239" s="8">
        <v>233.5</v>
      </c>
      <c r="N239" s="8">
        <v>33.5</v>
      </c>
      <c r="O239" s="8">
        <v>33.5</v>
      </c>
      <c r="P239" s="8">
        <v>139.75</v>
      </c>
    </row>
    <row r="240" spans="1:16" ht="15.75">
      <c r="A240" s="96" t="s">
        <v>459</v>
      </c>
      <c r="B240" s="8">
        <v>233.25</v>
      </c>
      <c r="C240" s="8">
        <v>244.25</v>
      </c>
      <c r="D240" s="8">
        <v>138</v>
      </c>
      <c r="E240" s="8">
        <v>138</v>
      </c>
      <c r="F240" s="8">
        <v>66.75</v>
      </c>
      <c r="G240" s="8">
        <v>22.75</v>
      </c>
      <c r="H240" s="8"/>
      <c r="I240" s="8">
        <v>45.5</v>
      </c>
      <c r="J240" s="8">
        <v>47</v>
      </c>
      <c r="K240" s="8">
        <v>35.25</v>
      </c>
      <c r="L240" s="8">
        <v>47</v>
      </c>
      <c r="M240" s="8">
        <v>233.25</v>
      </c>
      <c r="N240" s="8">
        <v>33.5</v>
      </c>
      <c r="O240" s="8">
        <v>33.5</v>
      </c>
      <c r="P240" s="8">
        <v>139.5</v>
      </c>
    </row>
    <row r="241" spans="1:16" ht="15.75">
      <c r="A241" s="96" t="s">
        <v>460</v>
      </c>
      <c r="B241" s="7">
        <v>233.25</v>
      </c>
      <c r="C241" s="7">
        <v>244.25</v>
      </c>
      <c r="D241" s="8">
        <v>138</v>
      </c>
      <c r="E241" s="8">
        <v>138</v>
      </c>
      <c r="F241" s="8">
        <v>66.75</v>
      </c>
      <c r="G241" s="8">
        <v>22.75</v>
      </c>
      <c r="H241" s="8"/>
      <c r="I241" s="8">
        <v>45.5</v>
      </c>
      <c r="J241" s="8">
        <v>47</v>
      </c>
      <c r="K241" s="8">
        <v>35.25</v>
      </c>
      <c r="L241" s="8">
        <v>47</v>
      </c>
      <c r="M241" s="8">
        <v>233.25</v>
      </c>
      <c r="N241" s="8">
        <v>33.5</v>
      </c>
      <c r="O241" s="8">
        <v>33.5</v>
      </c>
      <c r="P241" s="8">
        <v>139.5</v>
      </c>
    </row>
    <row r="242" spans="1:16" ht="15.75">
      <c r="A242" s="96" t="s">
        <v>461</v>
      </c>
      <c r="B242" s="7">
        <v>233.25</v>
      </c>
      <c r="C242" s="7">
        <v>244.25</v>
      </c>
      <c r="D242" s="8">
        <v>138</v>
      </c>
      <c r="E242" s="8">
        <v>138</v>
      </c>
      <c r="F242" s="8">
        <v>66.75</v>
      </c>
      <c r="G242" s="8">
        <v>22.75</v>
      </c>
      <c r="H242" s="8">
        <v>22.75</v>
      </c>
      <c r="I242" s="8">
        <v>45.5</v>
      </c>
      <c r="J242" s="8">
        <v>47</v>
      </c>
      <c r="K242" s="8">
        <v>35.25</v>
      </c>
      <c r="L242" s="8">
        <v>47</v>
      </c>
      <c r="M242" s="8">
        <v>233.25</v>
      </c>
      <c r="N242" s="8">
        <v>33.5</v>
      </c>
      <c r="O242" s="8">
        <v>35.5</v>
      </c>
      <c r="P242" s="8">
        <v>139.5</v>
      </c>
    </row>
    <row r="243" spans="1:16" ht="15.75">
      <c r="A243" s="96" t="s">
        <v>462</v>
      </c>
      <c r="B243" s="7">
        <v>233.25</v>
      </c>
      <c r="C243" s="7">
        <v>244.25</v>
      </c>
      <c r="D243" s="8">
        <v>138</v>
      </c>
      <c r="E243" s="8">
        <v>138</v>
      </c>
      <c r="F243" s="8">
        <v>66.75</v>
      </c>
      <c r="G243" s="8">
        <v>22.75</v>
      </c>
      <c r="H243" s="8">
        <v>22.75</v>
      </c>
      <c r="I243" s="8">
        <v>45.5</v>
      </c>
      <c r="J243" s="8">
        <v>47</v>
      </c>
      <c r="K243" s="8">
        <v>35.25</v>
      </c>
      <c r="L243" s="8">
        <v>47</v>
      </c>
      <c r="M243" s="8">
        <v>233.25</v>
      </c>
      <c r="N243" s="8">
        <v>33.5</v>
      </c>
      <c r="O243" s="8">
        <v>35.5</v>
      </c>
      <c r="P243" s="8">
        <v>139.5</v>
      </c>
    </row>
    <row r="244" spans="1:16" ht="15.75">
      <c r="A244" s="96" t="s">
        <v>463</v>
      </c>
      <c r="B244" s="7">
        <v>233.25</v>
      </c>
      <c r="C244" s="7">
        <v>244.25</v>
      </c>
      <c r="D244" s="8">
        <v>138</v>
      </c>
      <c r="E244" s="8">
        <v>138</v>
      </c>
      <c r="F244" s="8">
        <v>66.75</v>
      </c>
      <c r="G244" s="8">
        <v>22.75</v>
      </c>
      <c r="H244" s="8">
        <v>22.75</v>
      </c>
      <c r="I244" s="8">
        <v>45.5</v>
      </c>
      <c r="J244" s="8">
        <v>47</v>
      </c>
      <c r="K244" s="8">
        <v>35.25</v>
      </c>
      <c r="L244" s="8">
        <v>47</v>
      </c>
      <c r="M244" s="8">
        <v>233.25</v>
      </c>
      <c r="N244" s="8">
        <v>33.5</v>
      </c>
      <c r="O244" s="8">
        <v>33.5</v>
      </c>
      <c r="P244" s="8">
        <v>139.5</v>
      </c>
    </row>
    <row r="245" spans="1:16" ht="15.75">
      <c r="A245" s="95" t="s">
        <v>465</v>
      </c>
      <c r="B245" s="7">
        <v>232.75</v>
      </c>
      <c r="C245" s="7">
        <v>243.5</v>
      </c>
      <c r="D245" s="8">
        <v>137.75</v>
      </c>
      <c r="E245" s="8">
        <v>137.75</v>
      </c>
      <c r="F245" s="8">
        <v>66.5</v>
      </c>
      <c r="G245" s="8">
        <v>22.75</v>
      </c>
      <c r="H245" s="8">
        <v>22.75</v>
      </c>
      <c r="I245" s="8">
        <v>45.5</v>
      </c>
      <c r="J245" s="8">
        <v>47</v>
      </c>
      <c r="K245" s="8">
        <v>32.25</v>
      </c>
      <c r="L245" s="8">
        <v>47</v>
      </c>
      <c r="M245" s="8">
        <v>232.75</v>
      </c>
      <c r="N245" s="8">
        <v>33.5</v>
      </c>
      <c r="O245" s="8">
        <v>33.5</v>
      </c>
      <c r="P245" s="8">
        <v>139.25</v>
      </c>
    </row>
    <row r="246" spans="1:16" ht="15.75">
      <c r="A246" s="95" t="s">
        <v>485</v>
      </c>
      <c r="B246" s="7">
        <v>232.75</v>
      </c>
      <c r="C246" s="7">
        <v>243.5</v>
      </c>
      <c r="D246" s="8">
        <v>137.75</v>
      </c>
      <c r="E246" s="8">
        <v>137.75</v>
      </c>
      <c r="F246" s="8">
        <v>66.5</v>
      </c>
      <c r="G246" s="8">
        <v>22.75</v>
      </c>
      <c r="H246" s="8">
        <v>22.75</v>
      </c>
      <c r="I246" s="8">
        <v>45.5</v>
      </c>
      <c r="J246" s="8">
        <v>47</v>
      </c>
      <c r="K246" s="8">
        <v>32.25</v>
      </c>
      <c r="L246" s="8">
        <v>47</v>
      </c>
      <c r="M246" s="8">
        <v>232.75</v>
      </c>
      <c r="N246" s="8">
        <v>33.5</v>
      </c>
      <c r="O246" s="8">
        <v>33.5</v>
      </c>
      <c r="P246" s="8">
        <v>139.25</v>
      </c>
    </row>
    <row r="247" spans="1:16" ht="15.75">
      <c r="A247" s="95" t="s">
        <v>488</v>
      </c>
      <c r="B247" s="7">
        <v>232.75</v>
      </c>
      <c r="C247" s="7">
        <v>243.5</v>
      </c>
      <c r="D247" s="8">
        <v>137.75</v>
      </c>
      <c r="E247" s="8">
        <v>137.75</v>
      </c>
      <c r="F247" s="8">
        <v>66.5</v>
      </c>
      <c r="G247" s="8">
        <v>22.75</v>
      </c>
      <c r="H247" s="8">
        <v>22.75</v>
      </c>
      <c r="I247" s="8">
        <v>45.5</v>
      </c>
      <c r="J247" s="8">
        <v>47</v>
      </c>
      <c r="K247" s="8">
        <v>35.25</v>
      </c>
      <c r="L247" s="8">
        <v>47</v>
      </c>
      <c r="M247" s="8">
        <v>232.75</v>
      </c>
      <c r="N247" s="8">
        <v>33.5</v>
      </c>
      <c r="O247" s="8">
        <v>33.5</v>
      </c>
      <c r="P247" s="8">
        <v>139.25</v>
      </c>
    </row>
    <row r="248" spans="1:16" s="124" customFormat="1" ht="15.75">
      <c r="A248" s="95" t="s">
        <v>489</v>
      </c>
      <c r="B248" s="125">
        <v>232.75</v>
      </c>
      <c r="C248" s="125">
        <v>243.5</v>
      </c>
      <c r="D248" s="126">
        <v>137.75</v>
      </c>
      <c r="E248" s="118">
        <v>137.75</v>
      </c>
      <c r="F248" s="127">
        <v>66.5</v>
      </c>
      <c r="G248" s="118">
        <v>22.75</v>
      </c>
      <c r="H248" s="118">
        <v>22.75</v>
      </c>
      <c r="I248" s="118">
        <v>45.5</v>
      </c>
      <c r="J248" s="118">
        <v>47</v>
      </c>
      <c r="K248" s="118">
        <v>35.25</v>
      </c>
      <c r="L248" s="118">
        <v>47</v>
      </c>
      <c r="M248" s="118">
        <v>232.75</v>
      </c>
      <c r="N248" s="118">
        <v>33.5</v>
      </c>
      <c r="O248" s="118">
        <v>33.5</v>
      </c>
      <c r="P248" s="118">
        <v>139.25</v>
      </c>
    </row>
    <row r="249" spans="1:16" ht="15.75">
      <c r="A249" s="95" t="s">
        <v>490</v>
      </c>
      <c r="B249" s="7">
        <v>233.5</v>
      </c>
      <c r="C249" s="7">
        <v>244.25</v>
      </c>
      <c r="D249" s="7">
        <v>138</v>
      </c>
      <c r="E249" s="7">
        <v>138</v>
      </c>
      <c r="F249" s="7">
        <v>66.75</v>
      </c>
      <c r="G249" s="7">
        <v>22.75</v>
      </c>
      <c r="H249" s="7">
        <v>22.75</v>
      </c>
      <c r="I249" s="7">
        <v>45.5</v>
      </c>
      <c r="J249" s="7">
        <v>47.25</v>
      </c>
      <c r="K249" s="7">
        <v>35.25</v>
      </c>
      <c r="L249" s="7">
        <v>47.25</v>
      </c>
      <c r="M249" s="7">
        <v>233.5</v>
      </c>
      <c r="N249" s="7">
        <v>33.5</v>
      </c>
      <c r="O249" s="7">
        <v>35</v>
      </c>
      <c r="P249" s="7">
        <v>139.75</v>
      </c>
    </row>
    <row r="250" spans="1:16" ht="15.75">
      <c r="A250" s="95" t="s">
        <v>491</v>
      </c>
      <c r="B250" s="7">
        <v>233.5</v>
      </c>
      <c r="C250" s="7">
        <v>244.25</v>
      </c>
      <c r="D250" s="7">
        <v>138</v>
      </c>
      <c r="E250" s="7">
        <v>138</v>
      </c>
      <c r="F250" s="7">
        <v>66.75</v>
      </c>
      <c r="G250" s="7">
        <v>22.75</v>
      </c>
      <c r="H250" s="7">
        <v>22.75</v>
      </c>
      <c r="I250" s="7">
        <v>45</v>
      </c>
      <c r="J250" s="7">
        <v>47.25</v>
      </c>
      <c r="K250" s="7">
        <v>35.25</v>
      </c>
      <c r="L250" s="7">
        <v>47.25</v>
      </c>
      <c r="M250" s="7">
        <v>233.5</v>
      </c>
      <c r="N250" s="7">
        <v>33.5</v>
      </c>
      <c r="O250" s="7">
        <v>33.5</v>
      </c>
      <c r="P250" s="7">
        <v>139.75</v>
      </c>
    </row>
    <row r="251" spans="1:16" ht="15.75">
      <c r="A251" s="95" t="s">
        <v>492</v>
      </c>
      <c r="B251" s="7">
        <v>233.5</v>
      </c>
      <c r="C251" s="7">
        <v>244.25</v>
      </c>
      <c r="D251" s="7">
        <v>138</v>
      </c>
      <c r="E251" s="7">
        <v>138</v>
      </c>
      <c r="F251" s="7">
        <v>66.75</v>
      </c>
      <c r="G251" s="7">
        <v>22.75</v>
      </c>
      <c r="H251" s="7">
        <v>22.75</v>
      </c>
      <c r="I251" s="7">
        <v>45.5</v>
      </c>
      <c r="J251" s="7">
        <v>47.25</v>
      </c>
      <c r="K251" s="7">
        <v>35.25</v>
      </c>
      <c r="L251" s="7">
        <v>47.25</v>
      </c>
      <c r="M251" s="7">
        <v>233.5</v>
      </c>
      <c r="N251" s="7">
        <v>33.5</v>
      </c>
      <c r="O251" s="7">
        <v>33.5</v>
      </c>
      <c r="P251" s="7">
        <v>139.75</v>
      </c>
    </row>
    <row r="252" spans="1:16" ht="15.75">
      <c r="A252" s="95" t="s">
        <v>493</v>
      </c>
      <c r="B252" s="7">
        <v>234.75</v>
      </c>
      <c r="C252" s="7">
        <v>245.5</v>
      </c>
      <c r="D252" s="7">
        <v>138.75</v>
      </c>
      <c r="E252" s="7">
        <v>138.75</v>
      </c>
      <c r="F252" s="7">
        <v>67</v>
      </c>
      <c r="G252" s="7">
        <v>22.75</v>
      </c>
      <c r="H252" s="7">
        <v>22.75</v>
      </c>
      <c r="I252" s="7">
        <v>45.75</v>
      </c>
      <c r="J252" s="7">
        <v>47.5</v>
      </c>
      <c r="K252" s="7">
        <v>35.5</v>
      </c>
      <c r="L252" s="7">
        <v>47.5</v>
      </c>
      <c r="M252" s="7">
        <v>234.75</v>
      </c>
      <c r="N252" s="7">
        <v>33.75</v>
      </c>
      <c r="O252" s="7">
        <v>33.75</v>
      </c>
      <c r="P252" s="7">
        <v>140.5</v>
      </c>
    </row>
    <row r="253" spans="1:16" ht="15.75">
      <c r="A253" s="95" t="s">
        <v>494</v>
      </c>
      <c r="B253" s="7">
        <v>234.75</v>
      </c>
      <c r="C253" s="7">
        <v>245.5</v>
      </c>
      <c r="D253" s="7">
        <v>138.75</v>
      </c>
      <c r="E253" s="7">
        <v>138.75</v>
      </c>
      <c r="F253" s="7">
        <v>67</v>
      </c>
      <c r="G253" s="7">
        <v>22.75</v>
      </c>
      <c r="H253" s="7">
        <v>22.75</v>
      </c>
      <c r="I253" s="7">
        <v>45.75</v>
      </c>
      <c r="J253" s="7">
        <v>47.5</v>
      </c>
      <c r="K253" s="7">
        <v>35.5</v>
      </c>
      <c r="L253" s="7">
        <v>47.5</v>
      </c>
      <c r="M253" s="7">
        <v>234.75</v>
      </c>
      <c r="N253" s="7">
        <v>33.75</v>
      </c>
      <c r="O253" s="7">
        <v>33.75</v>
      </c>
      <c r="P253" s="7">
        <v>140.5</v>
      </c>
    </row>
    <row r="254" spans="1:16" ht="15.75">
      <c r="A254" s="95" t="s">
        <v>495</v>
      </c>
      <c r="B254" s="7">
        <v>234.75</v>
      </c>
      <c r="C254" s="7">
        <v>245.5</v>
      </c>
      <c r="D254" s="7">
        <v>138.75</v>
      </c>
      <c r="E254" s="7">
        <v>138.75</v>
      </c>
      <c r="F254" s="7">
        <v>67</v>
      </c>
      <c r="G254" s="7">
        <v>22.75</v>
      </c>
      <c r="H254" s="7">
        <v>22.75</v>
      </c>
      <c r="I254" s="7">
        <v>45.75</v>
      </c>
      <c r="J254" s="7">
        <v>47.5</v>
      </c>
      <c r="K254" s="7">
        <v>35.5</v>
      </c>
      <c r="L254" s="7">
        <v>47.5</v>
      </c>
      <c r="M254" s="7">
        <v>234.75</v>
      </c>
      <c r="N254" s="7">
        <v>33.75</v>
      </c>
      <c r="O254" s="7">
        <v>33.75</v>
      </c>
      <c r="P254" s="7">
        <v>140.5</v>
      </c>
    </row>
    <row r="255" spans="1:16" ht="15.75">
      <c r="A255" s="95" t="s">
        <v>497</v>
      </c>
      <c r="B255" s="7">
        <v>234.75</v>
      </c>
      <c r="C255" s="121">
        <v>245.5</v>
      </c>
      <c r="D255" s="121">
        <v>138.75</v>
      </c>
      <c r="E255" s="121">
        <v>138.75</v>
      </c>
      <c r="F255" s="121">
        <v>67</v>
      </c>
      <c r="G255" s="121">
        <v>22.75</v>
      </c>
      <c r="H255" s="121">
        <v>22.75</v>
      </c>
      <c r="I255" s="121">
        <v>45.75</v>
      </c>
      <c r="J255" s="121">
        <v>47.5</v>
      </c>
      <c r="K255" s="121">
        <v>35.5</v>
      </c>
      <c r="L255" s="121">
        <v>45.75</v>
      </c>
      <c r="M255" s="121">
        <v>234.75</v>
      </c>
      <c r="N255" s="121">
        <v>33.75</v>
      </c>
      <c r="O255" s="121">
        <v>33.75</v>
      </c>
      <c r="P255" s="121">
        <v>140.5</v>
      </c>
    </row>
    <row r="256" spans="1:16" ht="15.75">
      <c r="A256" s="95" t="s">
        <v>500</v>
      </c>
      <c r="B256" s="7">
        <v>235.5</v>
      </c>
      <c r="C256" s="121">
        <v>246.25</v>
      </c>
      <c r="D256" s="121">
        <v>139</v>
      </c>
      <c r="E256" s="121">
        <v>139</v>
      </c>
      <c r="F256" s="121">
        <v>67.25</v>
      </c>
      <c r="G256" s="121">
        <v>22.75</v>
      </c>
      <c r="H256" s="121">
        <v>22.75</v>
      </c>
      <c r="I256" s="121">
        <v>45.75</v>
      </c>
      <c r="J256" s="121">
        <v>47.75</v>
      </c>
      <c r="K256" s="121">
        <v>35.5</v>
      </c>
      <c r="L256" s="121">
        <v>45.75</v>
      </c>
      <c r="M256" s="121">
        <v>235.5</v>
      </c>
      <c r="N256" s="121">
        <v>33.75</v>
      </c>
      <c r="O256" s="121">
        <v>33.75</v>
      </c>
      <c r="P256" s="121">
        <v>141</v>
      </c>
    </row>
    <row r="257" spans="1:16" ht="15.75">
      <c r="A257" s="77" t="s">
        <v>501</v>
      </c>
      <c r="B257" s="121">
        <v>235.5</v>
      </c>
      <c r="C257" s="121">
        <v>246.25</v>
      </c>
      <c r="D257" s="121">
        <v>139</v>
      </c>
      <c r="E257" s="121">
        <v>139</v>
      </c>
      <c r="F257" s="121">
        <v>67.25</v>
      </c>
      <c r="G257" s="121">
        <v>22.75</v>
      </c>
      <c r="H257" s="121">
        <v>22.75</v>
      </c>
      <c r="I257" s="121">
        <v>45.75</v>
      </c>
      <c r="J257" s="121">
        <v>47.75</v>
      </c>
      <c r="K257" s="121">
        <v>35.5</v>
      </c>
      <c r="L257" s="121">
        <v>47.75</v>
      </c>
      <c r="M257" s="121">
        <v>235.5</v>
      </c>
      <c r="N257" s="121">
        <v>33.75</v>
      </c>
      <c r="O257" s="121">
        <v>33.75</v>
      </c>
      <c r="P257" s="121">
        <v>141</v>
      </c>
    </row>
    <row r="258" spans="1:16" ht="15.75">
      <c r="A258" s="77" t="s">
        <v>502</v>
      </c>
      <c r="B258" s="121">
        <v>235.5</v>
      </c>
      <c r="C258" s="121">
        <v>246.25</v>
      </c>
      <c r="D258" s="121">
        <v>139</v>
      </c>
      <c r="E258" s="121">
        <v>139</v>
      </c>
      <c r="F258" s="121">
        <v>67.25</v>
      </c>
      <c r="G258" s="121">
        <v>22.75</v>
      </c>
      <c r="H258" s="121">
        <v>22.75</v>
      </c>
      <c r="I258" s="121">
        <v>45.75</v>
      </c>
      <c r="J258" s="121">
        <v>47.75</v>
      </c>
      <c r="K258" s="121">
        <v>35.5</v>
      </c>
      <c r="L258" s="121">
        <v>47.75</v>
      </c>
      <c r="M258" s="121">
        <v>235.5</v>
      </c>
      <c r="N258" s="121">
        <v>33.75</v>
      </c>
      <c r="O258" s="121">
        <v>33.75</v>
      </c>
      <c r="P258" s="121">
        <v>141</v>
      </c>
    </row>
    <row r="259" spans="1:16" ht="15.75">
      <c r="A259" s="77" t="s">
        <v>503</v>
      </c>
      <c r="B259" s="121">
        <v>235.5</v>
      </c>
      <c r="C259" s="121">
        <v>246.25</v>
      </c>
      <c r="D259" s="121">
        <v>139</v>
      </c>
      <c r="E259" s="121">
        <v>139</v>
      </c>
      <c r="F259" s="121">
        <v>67.25</v>
      </c>
      <c r="G259" s="121">
        <v>22.75</v>
      </c>
      <c r="H259" s="121">
        <v>22.75</v>
      </c>
      <c r="I259" s="121">
        <v>45.75</v>
      </c>
      <c r="J259" s="121">
        <v>47.75</v>
      </c>
      <c r="K259" s="121">
        <v>35.5</v>
      </c>
      <c r="L259" s="121">
        <v>47.75</v>
      </c>
      <c r="M259" s="121">
        <v>235.5</v>
      </c>
      <c r="N259" s="121">
        <v>33.75</v>
      </c>
      <c r="O259" s="121">
        <v>33.75</v>
      </c>
      <c r="P259" s="121">
        <v>141</v>
      </c>
    </row>
    <row r="260" spans="1:16" ht="15.75">
      <c r="A260" s="77" t="s">
        <v>503</v>
      </c>
      <c r="B260" s="121">
        <v>235.5</v>
      </c>
      <c r="C260" s="121">
        <v>246.25</v>
      </c>
      <c r="D260" s="121">
        <v>139</v>
      </c>
      <c r="E260" s="121">
        <v>139</v>
      </c>
      <c r="F260" s="121">
        <v>67.25</v>
      </c>
      <c r="G260" s="121">
        <v>22.75</v>
      </c>
      <c r="H260" s="121">
        <v>22.75</v>
      </c>
      <c r="I260" s="121">
        <v>45.75</v>
      </c>
      <c r="J260" s="121">
        <v>47.75</v>
      </c>
      <c r="K260" s="121">
        <v>35.5</v>
      </c>
      <c r="L260" s="121">
        <v>47.75</v>
      </c>
      <c r="M260" s="121">
        <v>235.5</v>
      </c>
      <c r="N260" s="121">
        <v>33.75</v>
      </c>
      <c r="O260" s="121">
        <v>33.75</v>
      </c>
      <c r="P260" s="121">
        <v>141</v>
      </c>
    </row>
    <row r="261" spans="1:16" ht="15.75">
      <c r="A261" s="77" t="s">
        <v>504</v>
      </c>
      <c r="B261" s="121">
        <v>236.75</v>
      </c>
      <c r="C261" s="121">
        <v>247.5</v>
      </c>
      <c r="D261" s="121">
        <v>139.75</v>
      </c>
      <c r="E261" s="121">
        <v>139.75</v>
      </c>
      <c r="F261" s="121">
        <v>67.5</v>
      </c>
      <c r="G261" s="121">
        <v>23</v>
      </c>
      <c r="H261" s="121">
        <v>23</v>
      </c>
      <c r="I261" s="121">
        <v>46</v>
      </c>
      <c r="J261" s="121">
        <v>48</v>
      </c>
      <c r="K261" s="121">
        <v>35.75</v>
      </c>
      <c r="L261" s="121">
        <v>48</v>
      </c>
      <c r="M261" s="121">
        <v>236.75</v>
      </c>
      <c r="N261" s="121">
        <v>34</v>
      </c>
      <c r="O261" s="121">
        <v>34</v>
      </c>
      <c r="P261" s="121">
        <v>141.75</v>
      </c>
    </row>
    <row r="262" spans="1:16" ht="15.75">
      <c r="A262" s="77" t="s">
        <v>505</v>
      </c>
      <c r="B262" s="7">
        <v>236.75</v>
      </c>
      <c r="C262" s="7">
        <v>247.5</v>
      </c>
      <c r="D262" s="7">
        <v>139.75</v>
      </c>
      <c r="E262" s="7">
        <v>139.75</v>
      </c>
      <c r="F262" s="7">
        <v>67.5</v>
      </c>
      <c r="G262" s="7">
        <v>23</v>
      </c>
      <c r="H262" s="7">
        <v>23</v>
      </c>
      <c r="I262" s="7">
        <v>46</v>
      </c>
      <c r="J262" s="7">
        <v>48</v>
      </c>
      <c r="K262" s="7">
        <v>35.75</v>
      </c>
      <c r="L262" s="7">
        <v>48</v>
      </c>
      <c r="M262" s="7">
        <v>236.75</v>
      </c>
      <c r="N262" s="7">
        <v>34</v>
      </c>
      <c r="O262" s="7">
        <v>34</v>
      </c>
      <c r="P262" s="7">
        <v>141.75</v>
      </c>
    </row>
    <row r="263" spans="1:16" ht="15.75">
      <c r="A263" s="77" t="s">
        <v>506</v>
      </c>
      <c r="B263" s="7">
        <v>236.75</v>
      </c>
      <c r="C263" s="7">
        <v>247.5</v>
      </c>
      <c r="D263" s="7">
        <v>139.75</v>
      </c>
      <c r="E263" s="7">
        <v>139.75</v>
      </c>
      <c r="F263" s="7">
        <v>67.5</v>
      </c>
      <c r="G263" s="7">
        <v>23</v>
      </c>
      <c r="H263" s="7">
        <v>23</v>
      </c>
      <c r="I263" s="7">
        <v>46</v>
      </c>
      <c r="J263" s="7">
        <v>48</v>
      </c>
      <c r="K263" s="7">
        <v>35.75</v>
      </c>
      <c r="L263" s="7">
        <v>48</v>
      </c>
      <c r="M263" s="7">
        <v>236.75</v>
      </c>
      <c r="N263" s="7">
        <v>34</v>
      </c>
      <c r="O263" s="7">
        <v>34</v>
      </c>
      <c r="P263" s="7">
        <v>141.75</v>
      </c>
    </row>
    <row r="264" spans="1:16" ht="15.75">
      <c r="A264" s="77" t="s">
        <v>507</v>
      </c>
      <c r="B264" s="7">
        <v>236.75</v>
      </c>
      <c r="C264" s="7">
        <v>247.5</v>
      </c>
      <c r="D264" s="7">
        <v>139.75</v>
      </c>
      <c r="E264" s="7">
        <v>139.75</v>
      </c>
      <c r="F264" s="7">
        <v>67.5</v>
      </c>
      <c r="G264" s="7">
        <v>23</v>
      </c>
      <c r="H264" s="7">
        <v>23</v>
      </c>
      <c r="I264" s="7">
        <v>46</v>
      </c>
      <c r="J264" s="7">
        <v>48</v>
      </c>
      <c r="K264" s="7">
        <v>35.75</v>
      </c>
      <c r="L264" s="7">
        <v>48</v>
      </c>
      <c r="M264" s="7">
        <v>236.75</v>
      </c>
      <c r="N264" s="7">
        <v>34</v>
      </c>
      <c r="O264" s="7">
        <v>34</v>
      </c>
      <c r="P264" s="7">
        <v>141.75</v>
      </c>
    </row>
    <row r="265" spans="1:16" ht="15.75">
      <c r="A265" s="77" t="s">
        <v>508</v>
      </c>
      <c r="B265" s="7">
        <v>237.75</v>
      </c>
      <c r="C265" s="7">
        <v>248.75</v>
      </c>
      <c r="D265" s="7">
        <v>140.5</v>
      </c>
      <c r="E265" s="7">
        <v>140.5</v>
      </c>
      <c r="F265" s="7">
        <v>67.75</v>
      </c>
      <c r="G265" s="7">
        <v>23</v>
      </c>
      <c r="H265" s="7">
        <v>23</v>
      </c>
      <c r="I265" s="7">
        <v>46.25</v>
      </c>
      <c r="J265" s="7">
        <v>48.25</v>
      </c>
      <c r="K265" s="7">
        <v>36</v>
      </c>
      <c r="L265" s="7">
        <v>48.25</v>
      </c>
      <c r="M265" s="7">
        <v>237.75</v>
      </c>
      <c r="N265" s="7">
        <v>34.25</v>
      </c>
      <c r="O265" s="7">
        <v>34.25</v>
      </c>
      <c r="P265" s="7">
        <v>142.5</v>
      </c>
    </row>
    <row r="266" spans="1:16" ht="15.75">
      <c r="A266" s="77" t="s">
        <v>509</v>
      </c>
      <c r="B266" s="7">
        <v>237.75</v>
      </c>
      <c r="C266" s="7">
        <v>248.75</v>
      </c>
      <c r="D266" s="7">
        <v>140.5</v>
      </c>
      <c r="E266" s="7">
        <v>140.5</v>
      </c>
      <c r="F266" s="7">
        <v>67.75</v>
      </c>
      <c r="G266" s="7">
        <v>23</v>
      </c>
      <c r="H266" s="7">
        <v>23</v>
      </c>
      <c r="I266" s="7">
        <v>46.25</v>
      </c>
      <c r="J266" s="7">
        <v>48.25</v>
      </c>
      <c r="K266" s="7">
        <v>36</v>
      </c>
      <c r="L266" s="7">
        <v>48.25</v>
      </c>
      <c r="M266" s="7">
        <v>237.75</v>
      </c>
      <c r="N266" s="7">
        <v>34.25</v>
      </c>
      <c r="O266" s="7">
        <v>34.25</v>
      </c>
      <c r="P266" s="7">
        <v>142.5</v>
      </c>
    </row>
    <row r="267" spans="1:16" ht="15.75">
      <c r="A267" s="77" t="s">
        <v>510</v>
      </c>
      <c r="B267" s="7">
        <v>237.75</v>
      </c>
      <c r="C267" s="7">
        <v>248.75</v>
      </c>
      <c r="D267" s="7">
        <v>140.5</v>
      </c>
      <c r="E267" s="7">
        <v>140.5</v>
      </c>
      <c r="F267" s="7">
        <v>67.75</v>
      </c>
      <c r="G267" s="7">
        <v>23</v>
      </c>
      <c r="H267" s="7">
        <v>23</v>
      </c>
      <c r="I267" s="7">
        <v>46.25</v>
      </c>
      <c r="J267" s="7">
        <v>46.25</v>
      </c>
      <c r="K267" s="7">
        <v>36</v>
      </c>
      <c r="L267" s="7">
        <v>48.25</v>
      </c>
      <c r="M267" s="7">
        <v>237.75</v>
      </c>
      <c r="N267" s="7">
        <v>34.25</v>
      </c>
      <c r="O267" s="7">
        <v>34.25</v>
      </c>
      <c r="P267" s="7">
        <v>142.5</v>
      </c>
    </row>
    <row r="268" spans="1:16" ht="15.75">
      <c r="A268" s="77" t="s">
        <v>511</v>
      </c>
      <c r="B268" s="7">
        <v>237.75</v>
      </c>
      <c r="C268" s="7">
        <v>248.75</v>
      </c>
      <c r="D268" s="7">
        <v>140.5</v>
      </c>
      <c r="E268" s="7">
        <v>140.5</v>
      </c>
      <c r="F268" s="7">
        <v>67.75</v>
      </c>
      <c r="G268" s="7">
        <v>23</v>
      </c>
      <c r="H268" s="7">
        <v>23</v>
      </c>
      <c r="I268" s="7">
        <v>46.25</v>
      </c>
      <c r="J268" s="7">
        <v>48.25</v>
      </c>
      <c r="K268" s="7">
        <v>36</v>
      </c>
      <c r="L268" s="7">
        <v>48.25</v>
      </c>
      <c r="M268" s="7">
        <v>237.75</v>
      </c>
      <c r="N268" s="7">
        <v>34.25</v>
      </c>
      <c r="O268" s="7">
        <v>34.25</v>
      </c>
      <c r="P268" s="7">
        <v>142.5</v>
      </c>
    </row>
    <row r="269" spans="1:16" ht="15.75">
      <c r="A269" s="77" t="s">
        <v>512</v>
      </c>
      <c r="B269" s="7">
        <v>238.5</v>
      </c>
      <c r="C269" s="7">
        <v>249.75</v>
      </c>
      <c r="D269" s="7">
        <v>141</v>
      </c>
      <c r="E269" s="7">
        <v>141</v>
      </c>
      <c r="F269" s="7">
        <v>68</v>
      </c>
      <c r="G269" s="7">
        <v>23</v>
      </c>
      <c r="H269" s="7">
        <v>23</v>
      </c>
      <c r="I269" s="7">
        <v>46.5</v>
      </c>
      <c r="J269" s="7">
        <v>48.5</v>
      </c>
      <c r="K269" s="7">
        <v>36.25</v>
      </c>
      <c r="L269" s="7">
        <v>48.5</v>
      </c>
      <c r="M269" s="7">
        <v>238.5</v>
      </c>
      <c r="N269" s="7">
        <v>34.25</v>
      </c>
      <c r="O269" s="7">
        <v>34.25</v>
      </c>
      <c r="P269" s="7">
        <v>143</v>
      </c>
    </row>
    <row r="270" spans="1:16" ht="15.75">
      <c r="A270" s="77" t="s">
        <v>513</v>
      </c>
      <c r="B270" s="7">
        <v>238.5</v>
      </c>
      <c r="C270" s="7">
        <v>249.75</v>
      </c>
      <c r="D270" s="7">
        <v>141</v>
      </c>
      <c r="E270" s="7">
        <v>141</v>
      </c>
      <c r="F270" s="7">
        <v>68</v>
      </c>
      <c r="G270" s="7">
        <v>23</v>
      </c>
      <c r="H270" s="7">
        <v>23</v>
      </c>
      <c r="I270" s="7">
        <v>46.5</v>
      </c>
      <c r="J270" s="7">
        <v>48.5</v>
      </c>
      <c r="K270" s="7">
        <v>36.25</v>
      </c>
      <c r="L270" s="7">
        <v>48.5</v>
      </c>
      <c r="M270" s="7">
        <v>238.5</v>
      </c>
      <c r="N270" s="7">
        <v>34.25</v>
      </c>
      <c r="O270" s="7">
        <v>34.25</v>
      </c>
      <c r="P270" s="7">
        <v>143</v>
      </c>
    </row>
    <row r="271" spans="1:16" ht="15.75">
      <c r="A271" s="77" t="s">
        <v>514</v>
      </c>
      <c r="B271" s="7">
        <v>238.46</v>
      </c>
      <c r="C271" s="7">
        <v>298.05</v>
      </c>
      <c r="D271" s="7">
        <v>141</v>
      </c>
      <c r="E271" s="7">
        <v>141</v>
      </c>
      <c r="F271" s="7">
        <v>68</v>
      </c>
      <c r="G271" s="7">
        <v>23</v>
      </c>
      <c r="H271" s="7">
        <v>23</v>
      </c>
      <c r="I271" s="7">
        <v>46.5</v>
      </c>
      <c r="J271" s="7">
        <v>48.5</v>
      </c>
      <c r="K271" s="7">
        <v>36.25</v>
      </c>
      <c r="L271" s="7">
        <v>48.5</v>
      </c>
      <c r="M271" s="7">
        <v>238.5</v>
      </c>
      <c r="N271" s="7">
        <v>34.25</v>
      </c>
      <c r="O271" s="7">
        <v>34.25</v>
      </c>
      <c r="P271" s="7">
        <v>143</v>
      </c>
    </row>
    <row r="272" spans="1:16" ht="15.75">
      <c r="A272" s="77" t="s">
        <v>515</v>
      </c>
      <c r="B272" s="7">
        <v>238.5</v>
      </c>
      <c r="C272" s="7">
        <v>249.75</v>
      </c>
      <c r="D272" s="7">
        <v>141</v>
      </c>
      <c r="E272" s="7">
        <v>141</v>
      </c>
      <c r="F272" s="7">
        <v>68</v>
      </c>
      <c r="G272" s="7">
        <v>23</v>
      </c>
      <c r="H272" s="7">
        <v>23</v>
      </c>
      <c r="I272" s="7">
        <v>46.5</v>
      </c>
      <c r="J272" s="7">
        <v>48.5</v>
      </c>
      <c r="K272" s="7">
        <v>36.25</v>
      </c>
      <c r="L272" s="7">
        <v>48.5</v>
      </c>
      <c r="M272" s="7">
        <v>238.5</v>
      </c>
      <c r="N272" s="7">
        <v>34.25</v>
      </c>
      <c r="O272" s="7">
        <v>34.25</v>
      </c>
      <c r="P272" s="7">
        <v>143</v>
      </c>
    </row>
    <row r="273" spans="1:16" ht="15.75">
      <c r="A273" s="77" t="s">
        <v>517</v>
      </c>
      <c r="B273" s="7">
        <v>241.25</v>
      </c>
      <c r="C273" s="7">
        <v>252.75</v>
      </c>
      <c r="D273" s="7">
        <v>142.75</v>
      </c>
      <c r="E273" s="7">
        <v>142.75</v>
      </c>
      <c r="F273" s="7">
        <v>68.75</v>
      </c>
      <c r="G273" s="7">
        <v>23.25</v>
      </c>
      <c r="H273" s="7">
        <v>23.25</v>
      </c>
      <c r="I273" s="7">
        <v>47</v>
      </c>
      <c r="J273" s="7">
        <v>49</v>
      </c>
      <c r="K273" s="7">
        <v>36.75</v>
      </c>
      <c r="L273" s="7">
        <v>49</v>
      </c>
      <c r="M273" s="7">
        <v>241.25</v>
      </c>
      <c r="N273" s="7">
        <v>34.75</v>
      </c>
      <c r="O273" s="7">
        <v>34.75</v>
      </c>
      <c r="P273" s="7">
        <v>144.75</v>
      </c>
    </row>
    <row r="274" spans="1:16" ht="15.75">
      <c r="A274" s="77" t="s">
        <v>518</v>
      </c>
      <c r="B274" s="7">
        <v>241.25</v>
      </c>
      <c r="C274" s="7">
        <v>252.75</v>
      </c>
      <c r="D274" s="7">
        <v>142.75</v>
      </c>
      <c r="E274" s="7">
        <v>142.75</v>
      </c>
      <c r="F274" s="7">
        <v>68.75</v>
      </c>
      <c r="G274" s="7">
        <v>23.25</v>
      </c>
      <c r="H274" s="7">
        <v>23.25</v>
      </c>
      <c r="I274" s="7">
        <v>47</v>
      </c>
      <c r="J274" s="7">
        <v>49</v>
      </c>
      <c r="K274" s="7">
        <v>36.75</v>
      </c>
      <c r="L274" s="7">
        <v>49</v>
      </c>
      <c r="M274" s="7">
        <v>241.25</v>
      </c>
      <c r="N274" s="7">
        <v>34.75</v>
      </c>
      <c r="O274" s="7">
        <v>34.75</v>
      </c>
      <c r="P274" s="7">
        <v>144.75</v>
      </c>
    </row>
    <row r="275" spans="1:16" ht="15.75">
      <c r="A275" s="77" t="s">
        <v>520</v>
      </c>
      <c r="B275" s="7">
        <v>241.25</v>
      </c>
      <c r="C275" s="7">
        <v>252.75</v>
      </c>
      <c r="D275" s="7">
        <v>142.75</v>
      </c>
      <c r="E275" s="7">
        <v>142.75</v>
      </c>
      <c r="F275" s="7">
        <v>68.75</v>
      </c>
      <c r="G275" s="7">
        <v>23.25</v>
      </c>
      <c r="H275" s="7">
        <v>23.25</v>
      </c>
      <c r="I275" s="7">
        <v>47</v>
      </c>
      <c r="J275" s="7">
        <v>49</v>
      </c>
      <c r="K275" s="7">
        <v>36.75</v>
      </c>
      <c r="L275" s="7">
        <v>49</v>
      </c>
      <c r="M275" s="7">
        <v>241.25</v>
      </c>
      <c r="N275" s="7">
        <v>34.75</v>
      </c>
      <c r="O275" s="7">
        <v>34.75</v>
      </c>
      <c r="P275" s="7">
        <v>144.75</v>
      </c>
    </row>
    <row r="276" spans="1:16" ht="15.75">
      <c r="A276" s="77" t="s">
        <v>522</v>
      </c>
      <c r="B276" s="7">
        <v>242.75</v>
      </c>
      <c r="C276" s="7">
        <v>254.25</v>
      </c>
      <c r="D276" s="7">
        <v>143.5</v>
      </c>
      <c r="E276" s="7">
        <v>142.75</v>
      </c>
      <c r="F276" s="7">
        <v>69.25</v>
      </c>
      <c r="G276" s="7">
        <v>23.5</v>
      </c>
      <c r="H276" s="7">
        <v>23.5</v>
      </c>
      <c r="I276" s="7">
        <v>47.25</v>
      </c>
      <c r="J276" s="7">
        <v>49.25</v>
      </c>
      <c r="K276" s="7">
        <v>37</v>
      </c>
      <c r="L276" s="7">
        <v>49.25</v>
      </c>
      <c r="M276" s="7">
        <v>242.75</v>
      </c>
      <c r="N276" s="7">
        <v>34.75</v>
      </c>
      <c r="O276" s="7">
        <v>35</v>
      </c>
      <c r="P276" s="7">
        <v>145.5</v>
      </c>
    </row>
    <row r="277" spans="1:16" ht="15.75">
      <c r="A277" s="77" t="s">
        <v>525</v>
      </c>
      <c r="B277" s="7">
        <v>242.75</v>
      </c>
      <c r="C277" s="7">
        <v>254.25</v>
      </c>
      <c r="D277" s="7">
        <v>143.5</v>
      </c>
      <c r="E277" s="7">
        <v>142.75</v>
      </c>
      <c r="F277" s="7">
        <v>69.25</v>
      </c>
      <c r="G277" s="7">
        <v>23.5</v>
      </c>
      <c r="H277" s="7">
        <v>23.5</v>
      </c>
      <c r="I277" s="7">
        <v>47.25</v>
      </c>
      <c r="J277" s="7">
        <v>49.25</v>
      </c>
      <c r="K277" s="7">
        <v>37</v>
      </c>
      <c r="L277" s="7">
        <v>49.25</v>
      </c>
      <c r="M277" s="7">
        <v>242.75</v>
      </c>
      <c r="N277" s="7">
        <v>34.75</v>
      </c>
      <c r="O277" s="7">
        <v>35</v>
      </c>
      <c r="P277" s="7">
        <v>145.5</v>
      </c>
    </row>
    <row r="278" spans="1:16" ht="15.75">
      <c r="A278" s="77" t="s">
        <v>526</v>
      </c>
      <c r="B278" s="7">
        <v>242.75</v>
      </c>
      <c r="C278" s="7">
        <v>254.25</v>
      </c>
      <c r="D278" s="7">
        <v>143.5</v>
      </c>
      <c r="E278" s="7">
        <v>142.75</v>
      </c>
      <c r="F278" s="7">
        <v>69.25</v>
      </c>
      <c r="G278" s="7">
        <v>23.5</v>
      </c>
      <c r="H278" s="7">
        <v>23.5</v>
      </c>
      <c r="I278" s="7">
        <v>47.25</v>
      </c>
      <c r="J278" s="7">
        <v>49.25</v>
      </c>
      <c r="K278" s="7">
        <v>37</v>
      </c>
      <c r="L278" s="7">
        <v>49.25</v>
      </c>
      <c r="M278" s="7">
        <v>242.75</v>
      </c>
      <c r="N278" s="7">
        <v>34.75</v>
      </c>
      <c r="O278" s="7">
        <v>35</v>
      </c>
      <c r="P278" s="7">
        <v>145.5</v>
      </c>
    </row>
    <row r="279" spans="1:16" ht="15.75">
      <c r="A279" s="77" t="s">
        <v>528</v>
      </c>
      <c r="B279" s="7">
        <v>242.75</v>
      </c>
      <c r="C279" s="7">
        <v>254.25</v>
      </c>
      <c r="D279" s="7">
        <v>143.5</v>
      </c>
      <c r="E279" s="7">
        <v>142.75</v>
      </c>
      <c r="F279" s="7">
        <v>69.25</v>
      </c>
      <c r="G279" s="7">
        <v>23.5</v>
      </c>
      <c r="H279" s="7">
        <v>23.5</v>
      </c>
      <c r="I279" s="7">
        <v>47.25</v>
      </c>
      <c r="J279" s="7">
        <v>49.25</v>
      </c>
      <c r="K279" s="7">
        <v>37</v>
      </c>
      <c r="L279" s="7">
        <v>49.25</v>
      </c>
      <c r="M279" s="7">
        <v>242.75</v>
      </c>
      <c r="N279" s="7">
        <v>34.75</v>
      </c>
      <c r="O279" s="7">
        <v>35</v>
      </c>
      <c r="P279" s="7">
        <v>145.5</v>
      </c>
    </row>
    <row r="280" spans="1:16" ht="15.75">
      <c r="A280" s="77" t="s">
        <v>530</v>
      </c>
      <c r="B280" s="7">
        <v>242.75</v>
      </c>
      <c r="C280" s="7">
        <v>254.25</v>
      </c>
      <c r="D280" s="7">
        <v>143.5</v>
      </c>
      <c r="E280" s="7">
        <v>142.75</v>
      </c>
      <c r="F280" s="7">
        <v>69.25</v>
      </c>
      <c r="G280" s="7">
        <v>23.5</v>
      </c>
      <c r="H280" s="7">
        <v>23.5</v>
      </c>
      <c r="I280" s="7">
        <v>47.25</v>
      </c>
      <c r="J280" s="7">
        <v>49.25</v>
      </c>
      <c r="K280" s="7">
        <v>37</v>
      </c>
      <c r="L280" s="7">
        <v>49.25</v>
      </c>
      <c r="M280" s="7">
        <v>242.75</v>
      </c>
      <c r="N280" s="7">
        <v>34.75</v>
      </c>
      <c r="O280" s="7">
        <v>35</v>
      </c>
      <c r="P280" s="7">
        <v>145.5</v>
      </c>
    </row>
    <row r="281" spans="1:16" ht="15.75">
      <c r="A281" s="77" t="s">
        <v>532</v>
      </c>
      <c r="B281" s="7">
        <v>242.75</v>
      </c>
      <c r="C281" s="7">
        <v>254.25</v>
      </c>
      <c r="D281" s="7">
        <v>143.5</v>
      </c>
      <c r="E281" s="7">
        <v>142.75</v>
      </c>
      <c r="F281" s="7">
        <v>69.25</v>
      </c>
      <c r="G281" s="7">
        <v>23.5</v>
      </c>
      <c r="H281" s="7">
        <v>23.5</v>
      </c>
      <c r="I281" s="7">
        <v>47.25</v>
      </c>
      <c r="J281" s="7">
        <v>49.25</v>
      </c>
      <c r="K281" s="7">
        <v>37</v>
      </c>
      <c r="L281" s="7">
        <v>49.25</v>
      </c>
      <c r="M281" s="7">
        <v>242.75</v>
      </c>
      <c r="N281" s="7">
        <v>34.75</v>
      </c>
      <c r="O281" s="7">
        <v>35</v>
      </c>
      <c r="P281" s="7">
        <v>145.5</v>
      </c>
    </row>
    <row r="282" spans="1:16" ht="15.75">
      <c r="A282" s="77" t="s">
        <v>534</v>
      </c>
      <c r="B282" s="7">
        <v>242.75</v>
      </c>
      <c r="C282" s="7">
        <v>254.25</v>
      </c>
      <c r="D282" s="7">
        <v>143.5</v>
      </c>
      <c r="E282" s="7">
        <v>142.75</v>
      </c>
      <c r="F282" s="7">
        <v>69.25</v>
      </c>
      <c r="G282" s="7">
        <v>23.5</v>
      </c>
      <c r="H282" s="7">
        <v>23.5</v>
      </c>
      <c r="I282" s="7">
        <v>47.25</v>
      </c>
      <c r="J282" s="7">
        <v>49.25</v>
      </c>
      <c r="K282" s="7">
        <v>37</v>
      </c>
      <c r="L282" s="7">
        <v>49.25</v>
      </c>
      <c r="M282" s="7">
        <v>242.75</v>
      </c>
      <c r="N282" s="7">
        <v>34.75</v>
      </c>
      <c r="O282" s="7">
        <v>35</v>
      </c>
      <c r="P282" s="7">
        <v>145.5</v>
      </c>
    </row>
    <row r="283" spans="1:16" ht="15.75">
      <c r="A283" s="77" t="s">
        <v>536</v>
      </c>
      <c r="B283" s="7">
        <v>243.75</v>
      </c>
      <c r="C283" s="7">
        <v>255.25</v>
      </c>
      <c r="D283" s="7">
        <v>144</v>
      </c>
      <c r="E283" s="7">
        <v>142.75</v>
      </c>
      <c r="F283" s="7">
        <v>69.5</v>
      </c>
      <c r="G283" s="7">
        <v>23.5</v>
      </c>
      <c r="H283" s="7">
        <v>23.5</v>
      </c>
      <c r="I283" s="7">
        <v>47.5</v>
      </c>
      <c r="J283" s="7">
        <v>49.5</v>
      </c>
      <c r="K283" s="7">
        <v>37.25</v>
      </c>
      <c r="L283" s="7">
        <v>49.5</v>
      </c>
      <c r="M283" s="7">
        <v>243.75</v>
      </c>
      <c r="N283" s="7">
        <v>34.75</v>
      </c>
      <c r="O283" s="7">
        <v>35.25</v>
      </c>
      <c r="P283" s="7">
        <v>146.25</v>
      </c>
    </row>
    <row r="284" spans="1:16" ht="15.75">
      <c r="A284" s="77" t="s">
        <v>537</v>
      </c>
      <c r="B284" s="7">
        <v>243.75</v>
      </c>
      <c r="C284" s="7">
        <v>255.25</v>
      </c>
      <c r="D284" s="7">
        <v>144</v>
      </c>
      <c r="E284" s="7">
        <v>142.75</v>
      </c>
      <c r="F284" s="7">
        <v>69.5</v>
      </c>
      <c r="G284" s="7">
        <v>23.5</v>
      </c>
      <c r="H284" s="7">
        <v>23.5</v>
      </c>
      <c r="I284" s="7">
        <v>47.5</v>
      </c>
      <c r="J284" s="7">
        <v>49.5</v>
      </c>
      <c r="K284" s="7">
        <v>37.25</v>
      </c>
      <c r="L284" s="7">
        <v>49.5</v>
      </c>
      <c r="M284" s="7">
        <v>243.75</v>
      </c>
      <c r="N284" s="7">
        <v>34.75</v>
      </c>
      <c r="O284" s="7">
        <v>35.25</v>
      </c>
      <c r="P284" s="7">
        <v>146.25</v>
      </c>
    </row>
    <row r="285" spans="1:16" ht="15.75">
      <c r="A285" s="77" t="s">
        <v>538</v>
      </c>
      <c r="B285" s="7">
        <v>243.75</v>
      </c>
      <c r="C285" s="7">
        <v>255.25</v>
      </c>
      <c r="D285" s="7">
        <v>144</v>
      </c>
      <c r="E285" s="7">
        <v>142.75</v>
      </c>
      <c r="F285" s="7">
        <v>69.5</v>
      </c>
      <c r="G285" s="7">
        <v>23.5</v>
      </c>
      <c r="H285" s="7">
        <v>23.5</v>
      </c>
      <c r="I285" s="7">
        <v>47.5</v>
      </c>
      <c r="J285" s="7">
        <v>49.5</v>
      </c>
      <c r="K285" s="7">
        <v>37.25</v>
      </c>
      <c r="L285" s="7">
        <v>49.5</v>
      </c>
      <c r="M285" s="7">
        <v>243.75</v>
      </c>
      <c r="N285" s="7">
        <v>34.75</v>
      </c>
      <c r="O285" s="7">
        <v>35.25</v>
      </c>
      <c r="P285" s="7">
        <v>146.25</v>
      </c>
    </row>
    <row r="286" spans="1:16" ht="15.75">
      <c r="A286" s="77" t="s">
        <v>539</v>
      </c>
      <c r="B286" s="7">
        <v>243.75</v>
      </c>
      <c r="C286" s="7">
        <v>255.25</v>
      </c>
      <c r="D286" s="7">
        <v>144</v>
      </c>
      <c r="E286" s="7">
        <v>142.75</v>
      </c>
      <c r="F286" s="7">
        <v>69.5</v>
      </c>
      <c r="G286" s="7">
        <v>23.5</v>
      </c>
      <c r="H286" s="7">
        <v>23.5</v>
      </c>
      <c r="I286" s="7">
        <v>47.5</v>
      </c>
      <c r="J286" s="7">
        <v>49.5</v>
      </c>
      <c r="K286" s="7">
        <v>37.25</v>
      </c>
      <c r="L286" s="7">
        <v>49.5</v>
      </c>
      <c r="M286" s="7">
        <v>243.75</v>
      </c>
      <c r="N286" s="7">
        <v>34.75</v>
      </c>
      <c r="O286" s="7">
        <v>35.25</v>
      </c>
      <c r="P286" s="7">
        <v>146.25</v>
      </c>
    </row>
    <row r="287" spans="1:16" ht="15.75">
      <c r="A287" s="77" t="s">
        <v>540</v>
      </c>
      <c r="B287" s="7">
        <v>246.25</v>
      </c>
      <c r="C287" s="7">
        <v>257.75</v>
      </c>
      <c r="D287" s="7">
        <v>145.5</v>
      </c>
      <c r="E287" s="7">
        <v>145.5</v>
      </c>
      <c r="F287" s="7">
        <v>70.25</v>
      </c>
      <c r="G287" s="7">
        <v>23.75</v>
      </c>
      <c r="H287" s="7">
        <v>23.75</v>
      </c>
      <c r="I287" s="7">
        <v>48</v>
      </c>
      <c r="J287" s="7">
        <v>50</v>
      </c>
      <c r="K287" s="7">
        <v>37.75</v>
      </c>
      <c r="L287" s="7">
        <v>50</v>
      </c>
      <c r="M287" s="7">
        <v>246.25</v>
      </c>
      <c r="N287" s="7">
        <v>35.5</v>
      </c>
      <c r="O287" s="7">
        <v>35.5</v>
      </c>
      <c r="P287" s="7">
        <v>147.75</v>
      </c>
    </row>
    <row r="288" spans="1:16" ht="15.75">
      <c r="A288" s="77" t="s">
        <v>541</v>
      </c>
      <c r="B288" s="7">
        <v>246.25</v>
      </c>
      <c r="C288" s="7">
        <v>257.75</v>
      </c>
      <c r="D288" s="7">
        <v>145.5</v>
      </c>
      <c r="E288" s="7">
        <v>145.5</v>
      </c>
      <c r="F288" s="7">
        <v>70.25</v>
      </c>
      <c r="G288" s="7">
        <v>23.75</v>
      </c>
      <c r="H288" s="7">
        <v>23.75</v>
      </c>
      <c r="I288" s="7">
        <v>48</v>
      </c>
      <c r="J288" s="7">
        <v>50</v>
      </c>
      <c r="K288" s="7">
        <v>37.75</v>
      </c>
      <c r="L288" s="7">
        <v>50</v>
      </c>
      <c r="M288" s="7">
        <v>246.25</v>
      </c>
      <c r="N288" s="7">
        <v>35.5</v>
      </c>
      <c r="O288" s="7">
        <v>35.5</v>
      </c>
      <c r="P288" s="7">
        <v>147.75</v>
      </c>
    </row>
    <row r="289" spans="1:16" ht="15.75">
      <c r="A289" s="77" t="s">
        <v>542</v>
      </c>
      <c r="B289" s="7">
        <v>246.25</v>
      </c>
      <c r="C289" s="7">
        <v>257.75</v>
      </c>
      <c r="D289" s="7">
        <v>145.5</v>
      </c>
      <c r="E289" s="7" t="s">
        <v>549</v>
      </c>
      <c r="F289" s="7">
        <v>70.25</v>
      </c>
      <c r="G289" s="7">
        <v>23.75</v>
      </c>
      <c r="H289" s="7">
        <v>23.75</v>
      </c>
      <c r="I289" s="7">
        <v>48</v>
      </c>
      <c r="J289" s="7">
        <v>50</v>
      </c>
      <c r="K289" s="7">
        <v>37.75</v>
      </c>
      <c r="L289" s="7">
        <v>50</v>
      </c>
      <c r="M289" s="7">
        <v>246.25</v>
      </c>
      <c r="N289" s="7">
        <v>35.5</v>
      </c>
      <c r="O289" s="7">
        <v>35.5</v>
      </c>
      <c r="P289" s="7">
        <v>147.75</v>
      </c>
    </row>
    <row r="290" spans="1:16" ht="15.75">
      <c r="A290" s="77" t="s">
        <v>543</v>
      </c>
      <c r="B290" s="7">
        <v>246.25</v>
      </c>
      <c r="C290" s="7">
        <v>257.75</v>
      </c>
      <c r="D290" s="7">
        <v>145.5</v>
      </c>
      <c r="E290" s="7">
        <v>142.75</v>
      </c>
      <c r="F290" s="7">
        <v>70.25</v>
      </c>
      <c r="G290" s="7">
        <v>23.75</v>
      </c>
      <c r="H290" s="7">
        <v>23.75</v>
      </c>
      <c r="I290" s="7">
        <v>48</v>
      </c>
      <c r="J290" s="7">
        <v>50</v>
      </c>
      <c r="K290" s="7">
        <v>37.75</v>
      </c>
      <c r="L290" s="7">
        <v>50</v>
      </c>
      <c r="M290" s="7">
        <v>246.25</v>
      </c>
      <c r="N290" s="7">
        <v>35.5</v>
      </c>
      <c r="O290" s="7">
        <v>35.5</v>
      </c>
      <c r="P290" s="7">
        <v>147.75</v>
      </c>
    </row>
    <row r="291" spans="1:16" ht="15.75">
      <c r="A291" s="77" t="s">
        <v>544</v>
      </c>
      <c r="B291" s="7">
        <v>246.25</v>
      </c>
      <c r="C291" s="7">
        <v>257.75</v>
      </c>
      <c r="D291" s="7">
        <v>145.5</v>
      </c>
      <c r="E291" s="7">
        <v>142.75</v>
      </c>
      <c r="F291" s="7">
        <v>70.25</v>
      </c>
      <c r="G291" s="7">
        <v>23.75</v>
      </c>
      <c r="H291" s="7">
        <v>23.75</v>
      </c>
      <c r="I291" s="7">
        <v>48</v>
      </c>
      <c r="J291" s="7">
        <v>50</v>
      </c>
      <c r="K291" s="7">
        <v>37.75</v>
      </c>
      <c r="L291" s="7">
        <v>50</v>
      </c>
      <c r="M291" s="7">
        <v>246.25</v>
      </c>
      <c r="N291" s="7">
        <v>35.5</v>
      </c>
      <c r="O291" s="7">
        <v>35.5</v>
      </c>
      <c r="P291" s="7">
        <v>147.75</v>
      </c>
    </row>
    <row r="292" spans="1:16" ht="15.75">
      <c r="A292" s="130" t="s">
        <v>545</v>
      </c>
      <c r="B292" s="7">
        <v>246.25</v>
      </c>
      <c r="C292" s="7">
        <v>257.75</v>
      </c>
      <c r="D292" s="7">
        <v>145.5</v>
      </c>
      <c r="E292" s="7">
        <v>142.75</v>
      </c>
      <c r="F292" s="7">
        <v>70.25</v>
      </c>
      <c r="G292" s="7">
        <v>23.75</v>
      </c>
      <c r="H292" s="7">
        <v>23.75</v>
      </c>
      <c r="I292" s="7">
        <v>48</v>
      </c>
      <c r="J292" s="7">
        <v>50</v>
      </c>
      <c r="K292" s="7">
        <v>37.75</v>
      </c>
      <c r="L292" s="7">
        <v>50</v>
      </c>
      <c r="M292" s="7">
        <v>246.25</v>
      </c>
      <c r="N292" s="7">
        <v>35.5</v>
      </c>
      <c r="O292" s="7">
        <v>35.5</v>
      </c>
      <c r="P292" s="7">
        <v>147.75</v>
      </c>
    </row>
    <row r="293" spans="1:16" ht="15.75">
      <c r="A293" s="130" t="s">
        <v>546</v>
      </c>
      <c r="B293" s="7">
        <v>246.25</v>
      </c>
      <c r="C293" s="7">
        <v>257.75</v>
      </c>
      <c r="D293" s="7">
        <v>145.5</v>
      </c>
      <c r="E293" s="7">
        <v>142.75</v>
      </c>
      <c r="F293" s="7">
        <v>70.25</v>
      </c>
      <c r="G293" s="7">
        <v>23.75</v>
      </c>
      <c r="H293" s="7">
        <v>23.75</v>
      </c>
      <c r="I293" s="7">
        <v>48</v>
      </c>
      <c r="J293" s="7">
        <v>50</v>
      </c>
      <c r="K293" s="7">
        <v>37.75</v>
      </c>
      <c r="L293" s="7">
        <v>50</v>
      </c>
      <c r="M293" s="7">
        <v>246.25</v>
      </c>
      <c r="N293" s="7">
        <v>35.5</v>
      </c>
      <c r="O293" s="7">
        <v>35.5</v>
      </c>
      <c r="P293" s="7">
        <v>147.75</v>
      </c>
    </row>
    <row r="294" spans="1:16" ht="15.75">
      <c r="A294" s="130" t="s">
        <v>547</v>
      </c>
      <c r="B294" s="7">
        <v>246.25</v>
      </c>
      <c r="C294" s="7">
        <v>257.75</v>
      </c>
      <c r="D294" s="7">
        <v>145.5</v>
      </c>
      <c r="E294" s="7">
        <v>142.75</v>
      </c>
      <c r="F294" s="7">
        <v>70.25</v>
      </c>
      <c r="G294" s="7">
        <v>23.75</v>
      </c>
      <c r="H294" s="7">
        <v>23.75</v>
      </c>
      <c r="I294" s="7">
        <v>48</v>
      </c>
      <c r="J294" s="7">
        <v>50</v>
      </c>
      <c r="K294" s="7">
        <v>37.75</v>
      </c>
      <c r="L294" s="7">
        <v>50</v>
      </c>
      <c r="M294" s="7">
        <v>246.25</v>
      </c>
      <c r="N294" s="7">
        <v>35.5</v>
      </c>
      <c r="O294" s="7">
        <v>35.5</v>
      </c>
      <c r="P294" s="7">
        <v>147.75</v>
      </c>
    </row>
    <row r="295" spans="1:16" ht="15.75">
      <c r="A295" s="130" t="s">
        <v>548</v>
      </c>
      <c r="B295" s="7">
        <v>246.25</v>
      </c>
      <c r="C295" s="7">
        <v>257.75</v>
      </c>
      <c r="D295" s="7">
        <v>145.5</v>
      </c>
      <c r="E295" s="7">
        <v>142.75</v>
      </c>
      <c r="F295" s="7">
        <v>70.25</v>
      </c>
      <c r="G295" s="7">
        <v>23.75</v>
      </c>
      <c r="H295" s="7">
        <v>23.75</v>
      </c>
      <c r="I295" s="7">
        <v>48</v>
      </c>
      <c r="J295" s="7">
        <v>50</v>
      </c>
      <c r="K295" s="7">
        <v>37.75</v>
      </c>
      <c r="L295" s="7">
        <v>50</v>
      </c>
      <c r="M295" s="7">
        <v>246.25</v>
      </c>
      <c r="N295" s="7">
        <v>35.5</v>
      </c>
      <c r="O295" s="7">
        <v>35.5</v>
      </c>
      <c r="P295" s="7">
        <v>147.75</v>
      </c>
    </row>
    <row r="296" spans="1:16" ht="15.75">
      <c r="A296" s="130" t="s">
        <v>550</v>
      </c>
      <c r="B296" s="7">
        <v>248.75</v>
      </c>
      <c r="C296" s="7">
        <v>260.25</v>
      </c>
      <c r="D296" s="7">
        <v>147</v>
      </c>
      <c r="E296" s="7">
        <v>142.75</v>
      </c>
      <c r="F296" s="7">
        <v>71</v>
      </c>
      <c r="G296" s="7">
        <v>24</v>
      </c>
      <c r="H296" s="7">
        <v>24</v>
      </c>
      <c r="I296" s="7">
        <v>48.5</v>
      </c>
      <c r="J296" s="7">
        <v>50.5</v>
      </c>
      <c r="K296" s="7">
        <v>38</v>
      </c>
      <c r="L296" s="7">
        <v>50.5</v>
      </c>
      <c r="M296" s="7">
        <v>248.75</v>
      </c>
      <c r="N296" s="7">
        <v>35.5</v>
      </c>
      <c r="O296" s="7">
        <v>35.75</v>
      </c>
      <c r="P296" s="7">
        <v>149.25</v>
      </c>
    </row>
    <row r="297" spans="1:16" ht="15.75">
      <c r="A297" s="130" t="s">
        <v>551</v>
      </c>
      <c r="B297" s="7">
        <v>248.75</v>
      </c>
      <c r="C297" s="7">
        <v>260.25</v>
      </c>
      <c r="D297" s="7">
        <v>147</v>
      </c>
      <c r="E297" s="7">
        <v>142.75</v>
      </c>
      <c r="F297" s="7">
        <v>71</v>
      </c>
      <c r="G297" s="7">
        <v>24</v>
      </c>
      <c r="H297" s="7">
        <v>24</v>
      </c>
      <c r="I297" s="7">
        <v>48.5</v>
      </c>
      <c r="J297" s="7">
        <v>50.5</v>
      </c>
      <c r="K297" s="7">
        <v>38</v>
      </c>
      <c r="L297" s="7">
        <v>50.5</v>
      </c>
      <c r="M297" s="7">
        <v>248.75</v>
      </c>
      <c r="N297" s="7">
        <v>35.5</v>
      </c>
      <c r="O297" s="7">
        <v>35.75</v>
      </c>
      <c r="P297" s="7">
        <v>149.25</v>
      </c>
    </row>
    <row r="298" spans="1:16" ht="15.75">
      <c r="A298" s="130" t="s">
        <v>552</v>
      </c>
      <c r="B298" s="7">
        <v>248.75</v>
      </c>
      <c r="C298" s="7">
        <v>260.25</v>
      </c>
      <c r="D298" s="7">
        <v>147</v>
      </c>
      <c r="E298" s="7">
        <v>142.75</v>
      </c>
      <c r="F298" s="7">
        <v>71</v>
      </c>
      <c r="G298" s="7">
        <v>24</v>
      </c>
      <c r="H298" s="7">
        <v>24</v>
      </c>
      <c r="I298" s="7">
        <v>48.5</v>
      </c>
      <c r="J298" s="7">
        <v>50.5</v>
      </c>
      <c r="K298" s="7">
        <v>38</v>
      </c>
      <c r="L298" s="7">
        <v>50.5</v>
      </c>
      <c r="M298" s="7">
        <v>248.75</v>
      </c>
      <c r="N298" s="7">
        <v>35.5</v>
      </c>
      <c r="O298" s="7">
        <v>35.75</v>
      </c>
      <c r="P298" s="7">
        <v>149.25</v>
      </c>
    </row>
    <row r="299" spans="1:16" ht="15.75">
      <c r="A299" s="130" t="s">
        <v>553</v>
      </c>
      <c r="B299" s="7">
        <v>248.75</v>
      </c>
      <c r="C299" s="7">
        <v>260.25</v>
      </c>
      <c r="D299" s="7">
        <v>147</v>
      </c>
      <c r="E299" s="7">
        <v>142.75</v>
      </c>
      <c r="F299" s="7">
        <v>71</v>
      </c>
      <c r="G299" s="7">
        <v>24</v>
      </c>
      <c r="H299" s="7">
        <v>24</v>
      </c>
      <c r="I299" s="7">
        <v>48.5</v>
      </c>
      <c r="J299" s="7">
        <v>50.5</v>
      </c>
      <c r="K299" s="7">
        <v>38</v>
      </c>
      <c r="L299" s="7">
        <v>50.5</v>
      </c>
      <c r="M299" s="7">
        <v>248.75</v>
      </c>
      <c r="N299" s="7">
        <v>35.5</v>
      </c>
      <c r="O299" s="7">
        <v>35.75</v>
      </c>
      <c r="P299" s="7">
        <v>149.25</v>
      </c>
    </row>
    <row r="300" spans="1:16" ht="15.75">
      <c r="A300" s="130" t="s">
        <v>554</v>
      </c>
      <c r="B300" s="7">
        <v>250</v>
      </c>
      <c r="C300" s="7">
        <v>261.75</v>
      </c>
      <c r="D300" s="7">
        <v>147.75</v>
      </c>
      <c r="E300" s="7">
        <v>142.75</v>
      </c>
      <c r="F300" s="7">
        <v>71.5</v>
      </c>
      <c r="G300" s="7">
        <v>24.25</v>
      </c>
      <c r="H300" s="7">
        <v>24.25</v>
      </c>
      <c r="I300" s="7">
        <v>48.75</v>
      </c>
      <c r="J300" s="7">
        <v>50.75</v>
      </c>
      <c r="K300" s="7">
        <v>38.25</v>
      </c>
      <c r="L300" s="7">
        <v>50.75</v>
      </c>
      <c r="M300" s="7">
        <v>250</v>
      </c>
      <c r="N300" s="7">
        <v>35.5</v>
      </c>
      <c r="O300" s="7">
        <v>36</v>
      </c>
      <c r="P300" s="7">
        <v>150</v>
      </c>
    </row>
    <row r="301" spans="1:16" ht="15.75">
      <c r="A301" s="130" t="s">
        <v>555</v>
      </c>
      <c r="B301" s="7">
        <v>250</v>
      </c>
      <c r="C301" s="7">
        <v>261.75</v>
      </c>
      <c r="D301" s="7">
        <v>147.75</v>
      </c>
      <c r="E301" s="7">
        <v>142.75</v>
      </c>
      <c r="F301" s="7">
        <v>71.5</v>
      </c>
      <c r="G301" s="7">
        <v>24.25</v>
      </c>
      <c r="H301" s="7">
        <v>24.25</v>
      </c>
      <c r="I301" s="7">
        <v>48.75</v>
      </c>
      <c r="J301" s="7">
        <v>50.75</v>
      </c>
      <c r="K301" s="7">
        <v>38.25</v>
      </c>
      <c r="L301" s="7">
        <v>50.75</v>
      </c>
      <c r="M301" s="7">
        <v>250</v>
      </c>
      <c r="N301" s="7">
        <v>35.5</v>
      </c>
      <c r="O301" s="7">
        <v>36</v>
      </c>
      <c r="P301" s="7">
        <v>150</v>
      </c>
    </row>
    <row r="302" spans="1:16" ht="15.75">
      <c r="A302" s="130" t="s">
        <v>556</v>
      </c>
      <c r="B302" s="7">
        <v>250</v>
      </c>
      <c r="C302" s="7">
        <v>261.75</v>
      </c>
      <c r="D302" s="7">
        <v>147.75</v>
      </c>
      <c r="E302" s="7">
        <v>142.75</v>
      </c>
      <c r="F302" s="7">
        <v>71.5</v>
      </c>
      <c r="G302" s="7">
        <v>24.25</v>
      </c>
      <c r="H302" s="7">
        <v>24.25</v>
      </c>
      <c r="I302" s="7">
        <v>48.75</v>
      </c>
      <c r="J302" s="7">
        <v>50.75</v>
      </c>
      <c r="K302" s="7">
        <v>38.25</v>
      </c>
      <c r="L302" s="7">
        <v>50.75</v>
      </c>
      <c r="M302" s="7">
        <v>250</v>
      </c>
      <c r="N302" s="7">
        <v>35.5</v>
      </c>
      <c r="O302" s="7">
        <v>36</v>
      </c>
      <c r="P302" s="7">
        <v>150</v>
      </c>
    </row>
    <row r="303" spans="1:16" ht="15.75">
      <c r="A303" s="130" t="s">
        <v>557</v>
      </c>
      <c r="B303" s="7">
        <v>250</v>
      </c>
      <c r="C303" s="7">
        <v>261.75</v>
      </c>
      <c r="D303" s="7">
        <v>147.75</v>
      </c>
      <c r="E303" s="7">
        <v>142.75</v>
      </c>
      <c r="F303" s="7">
        <v>71.5</v>
      </c>
      <c r="G303" s="7">
        <v>24.25</v>
      </c>
      <c r="H303" s="7">
        <v>24.25</v>
      </c>
      <c r="I303" s="7">
        <v>48.75</v>
      </c>
      <c r="J303" s="7">
        <v>50.75</v>
      </c>
      <c r="K303" s="7">
        <v>38.25</v>
      </c>
      <c r="L303" s="7">
        <v>50.75</v>
      </c>
      <c r="M303" s="7">
        <v>250</v>
      </c>
      <c r="N303" s="7">
        <v>35.5</v>
      </c>
      <c r="O303" s="7">
        <v>36</v>
      </c>
      <c r="P303" s="7">
        <v>150</v>
      </c>
    </row>
    <row r="304" spans="1:16" ht="15.75">
      <c r="A304" s="130" t="s">
        <v>558</v>
      </c>
      <c r="B304" s="7">
        <v>250</v>
      </c>
      <c r="C304" s="7">
        <v>261.75</v>
      </c>
      <c r="D304" s="7">
        <v>147.75</v>
      </c>
      <c r="E304" s="7">
        <v>0</v>
      </c>
      <c r="F304" s="7">
        <v>71.5</v>
      </c>
      <c r="G304" s="7">
        <v>24.25</v>
      </c>
      <c r="H304" s="7">
        <v>24.25</v>
      </c>
      <c r="I304" s="7">
        <v>48.75</v>
      </c>
      <c r="J304" s="7">
        <v>50.75</v>
      </c>
      <c r="K304" s="7">
        <v>38.25</v>
      </c>
      <c r="L304" s="7">
        <v>50.75</v>
      </c>
      <c r="M304" s="7">
        <v>250</v>
      </c>
      <c r="N304" s="7">
        <v>0</v>
      </c>
      <c r="O304" s="7">
        <v>36</v>
      </c>
      <c r="P304" s="7">
        <v>150</v>
      </c>
    </row>
    <row r="305" spans="1:16" ht="15.75">
      <c r="A305" s="130" t="s">
        <v>559</v>
      </c>
      <c r="B305" s="7">
        <v>250</v>
      </c>
      <c r="C305" s="7">
        <v>261.75</v>
      </c>
      <c r="D305" s="7">
        <v>147.75</v>
      </c>
      <c r="E305" s="7">
        <v>0</v>
      </c>
      <c r="F305" s="7">
        <v>71.5</v>
      </c>
      <c r="G305" s="7">
        <v>24.25</v>
      </c>
      <c r="H305" s="7">
        <v>24.25</v>
      </c>
      <c r="I305" s="7">
        <v>48.75</v>
      </c>
      <c r="J305" s="7">
        <v>50.75</v>
      </c>
      <c r="K305" s="7">
        <v>38.25</v>
      </c>
      <c r="L305" s="7">
        <v>50.75</v>
      </c>
      <c r="M305" s="7">
        <v>250</v>
      </c>
      <c r="N305" s="7">
        <v>0</v>
      </c>
      <c r="O305" s="7">
        <v>36</v>
      </c>
      <c r="P305" s="7">
        <v>150</v>
      </c>
    </row>
    <row r="306" spans="1:16" ht="15.75">
      <c r="A306" s="130" t="s">
        <v>560</v>
      </c>
      <c r="B306" s="7">
        <v>250</v>
      </c>
      <c r="C306" s="7">
        <v>261.75</v>
      </c>
      <c r="D306" s="7">
        <v>147.75</v>
      </c>
      <c r="E306" s="7">
        <v>0</v>
      </c>
      <c r="F306" s="7">
        <v>71.5</v>
      </c>
      <c r="G306" s="7">
        <v>24.25</v>
      </c>
      <c r="H306" s="7">
        <v>24.25</v>
      </c>
      <c r="I306" s="7">
        <v>48.75</v>
      </c>
      <c r="J306" s="7">
        <v>50.75</v>
      </c>
      <c r="K306" s="7">
        <v>38.25</v>
      </c>
      <c r="L306" s="7">
        <v>50.75</v>
      </c>
      <c r="M306" s="7">
        <v>250</v>
      </c>
      <c r="N306" s="7">
        <v>0</v>
      </c>
      <c r="O306" s="7">
        <v>36</v>
      </c>
      <c r="P306" s="7">
        <v>150</v>
      </c>
    </row>
    <row r="307" spans="1:16" ht="15.75">
      <c r="A307" s="130" t="s">
        <v>561</v>
      </c>
      <c r="B307" s="7">
        <v>362.88</v>
      </c>
      <c r="C307" s="7">
        <v>384.25</v>
      </c>
      <c r="D307" s="7">
        <v>147.75</v>
      </c>
      <c r="E307" s="7">
        <v>0</v>
      </c>
      <c r="F307" s="7">
        <v>71.5</v>
      </c>
      <c r="G307" s="7">
        <v>24.25</v>
      </c>
      <c r="H307" s="7">
        <v>24.25</v>
      </c>
      <c r="I307" s="7">
        <v>48.75</v>
      </c>
      <c r="J307" s="7">
        <v>50.75</v>
      </c>
      <c r="K307" s="7">
        <v>38.25</v>
      </c>
      <c r="L307" s="7">
        <v>50.75</v>
      </c>
      <c r="M307" s="7">
        <v>250</v>
      </c>
      <c r="N307" s="7">
        <v>0</v>
      </c>
      <c r="O307" s="7">
        <v>36</v>
      </c>
      <c r="P307" s="7">
        <v>150</v>
      </c>
    </row>
    <row r="308" spans="1:16" ht="15.75">
      <c r="A308" s="130" t="s">
        <v>562</v>
      </c>
      <c r="B308" s="7">
        <v>362.88</v>
      </c>
      <c r="C308" s="7">
        <v>384.25</v>
      </c>
      <c r="D308" s="7">
        <v>148.25</v>
      </c>
      <c r="E308" s="7">
        <v>0</v>
      </c>
      <c r="F308" s="7">
        <v>71.75</v>
      </c>
      <c r="G308" s="7">
        <v>24.25</v>
      </c>
      <c r="H308" s="7">
        <v>24.25</v>
      </c>
      <c r="I308" s="7">
        <v>49</v>
      </c>
      <c r="J308" s="7">
        <v>51</v>
      </c>
      <c r="K308" s="7">
        <v>38.5</v>
      </c>
      <c r="L308" s="7">
        <v>51</v>
      </c>
      <c r="M308" s="7">
        <v>251</v>
      </c>
      <c r="N308" s="7">
        <v>0</v>
      </c>
      <c r="O308" s="7">
        <v>36.25</v>
      </c>
      <c r="P308" s="7">
        <v>150.5</v>
      </c>
    </row>
    <row r="309" spans="1:16" ht="15.75">
      <c r="A309" s="130" t="s">
        <v>563</v>
      </c>
      <c r="B309" s="7">
        <v>251</v>
      </c>
      <c r="C309" s="7">
        <v>262.75</v>
      </c>
      <c r="D309" s="7">
        <v>148.25</v>
      </c>
      <c r="E309" s="7">
        <v>0</v>
      </c>
      <c r="F309" s="7">
        <v>71.75</v>
      </c>
      <c r="G309" s="7">
        <v>24.25</v>
      </c>
      <c r="H309" s="7">
        <v>24.25</v>
      </c>
      <c r="I309" s="7">
        <v>49</v>
      </c>
      <c r="J309" s="7">
        <v>51</v>
      </c>
      <c r="K309" s="7">
        <v>38.5</v>
      </c>
      <c r="L309" s="7">
        <v>51</v>
      </c>
      <c r="M309" s="7">
        <v>251</v>
      </c>
      <c r="N309" s="7">
        <v>0</v>
      </c>
      <c r="O309" s="7">
        <v>36.25</v>
      </c>
      <c r="P309" s="7">
        <v>150.5</v>
      </c>
    </row>
    <row r="310" spans="1:16" ht="15.75">
      <c r="A310" s="130" t="s">
        <v>564</v>
      </c>
      <c r="B310" s="7">
        <v>251</v>
      </c>
      <c r="C310" s="7">
        <v>262.75</v>
      </c>
      <c r="D310" s="7">
        <v>148.25</v>
      </c>
      <c r="E310" s="7">
        <v>0</v>
      </c>
      <c r="F310" s="7">
        <v>71.75</v>
      </c>
      <c r="G310" s="7">
        <v>24.25</v>
      </c>
      <c r="H310" s="7">
        <v>24.25</v>
      </c>
      <c r="I310" s="7">
        <v>49</v>
      </c>
      <c r="J310" s="7">
        <v>51</v>
      </c>
      <c r="K310" s="7">
        <v>38.5</v>
      </c>
      <c r="L310" s="7">
        <v>51</v>
      </c>
      <c r="M310" s="7">
        <v>251</v>
      </c>
      <c r="N310" s="7">
        <v>0</v>
      </c>
      <c r="O310" s="7">
        <v>36.25</v>
      </c>
      <c r="P310" s="7">
        <v>150.5</v>
      </c>
    </row>
    <row r="311" spans="1:16" ht="15.75">
      <c r="A311" s="130" t="s">
        <v>565</v>
      </c>
      <c r="B311" s="7">
        <v>251</v>
      </c>
      <c r="C311" s="7">
        <v>262.75</v>
      </c>
      <c r="D311" s="7">
        <v>148.25</v>
      </c>
      <c r="E311" s="7">
        <v>0</v>
      </c>
      <c r="F311" s="7">
        <v>71.75</v>
      </c>
      <c r="G311" s="7">
        <v>24.25</v>
      </c>
      <c r="H311" s="7">
        <v>24.25</v>
      </c>
      <c r="I311" s="7">
        <v>49</v>
      </c>
      <c r="J311" s="7">
        <v>51</v>
      </c>
      <c r="K311" s="7">
        <v>38.5</v>
      </c>
      <c r="L311" s="7">
        <v>51</v>
      </c>
      <c r="M311" s="7">
        <v>251</v>
      </c>
      <c r="N311" s="7">
        <v>0</v>
      </c>
      <c r="O311" s="7">
        <v>36.25</v>
      </c>
      <c r="P311" s="7">
        <v>150.5</v>
      </c>
    </row>
    <row r="312" spans="1:16" ht="15.75">
      <c r="A312" s="130" t="s">
        <v>567</v>
      </c>
      <c r="B312" s="7">
        <v>251</v>
      </c>
      <c r="C312" s="7">
        <v>262.75</v>
      </c>
      <c r="D312" s="7">
        <v>148.25</v>
      </c>
      <c r="E312" s="7">
        <v>0</v>
      </c>
      <c r="F312" s="7">
        <v>71.75</v>
      </c>
      <c r="G312" s="7">
        <v>24.25</v>
      </c>
      <c r="H312" s="7">
        <v>24.25</v>
      </c>
      <c r="I312" s="7">
        <v>49</v>
      </c>
      <c r="J312" s="7">
        <v>51</v>
      </c>
      <c r="K312" s="7">
        <v>38.5</v>
      </c>
      <c r="L312" s="7">
        <v>51</v>
      </c>
      <c r="M312" s="7">
        <v>251</v>
      </c>
      <c r="N312" s="7">
        <v>0</v>
      </c>
      <c r="O312" s="7">
        <v>36.25</v>
      </c>
      <c r="P312" s="7">
        <v>150.5</v>
      </c>
    </row>
    <row r="313" spans="1:16" ht="15.75">
      <c r="A313" s="130" t="s">
        <v>568</v>
      </c>
      <c r="B313" s="7">
        <v>251</v>
      </c>
      <c r="C313" s="7">
        <v>262.75</v>
      </c>
      <c r="D313" s="7">
        <v>148.25</v>
      </c>
      <c r="E313" s="7">
        <v>0</v>
      </c>
      <c r="F313" s="7">
        <v>71.75</v>
      </c>
      <c r="G313" s="7">
        <v>24.25</v>
      </c>
      <c r="H313" s="7">
        <v>24.25</v>
      </c>
      <c r="I313" s="7">
        <v>49</v>
      </c>
      <c r="J313" s="7">
        <v>51</v>
      </c>
      <c r="K313" s="7">
        <v>38.5</v>
      </c>
      <c r="L313" s="7">
        <v>51</v>
      </c>
      <c r="M313" s="7">
        <v>251</v>
      </c>
      <c r="N313" s="7">
        <v>0</v>
      </c>
      <c r="O313" s="7">
        <v>36.25</v>
      </c>
      <c r="P313" s="7">
        <v>150.5</v>
      </c>
    </row>
    <row r="314" spans="1:16" ht="15.75">
      <c r="A314" s="130" t="s">
        <v>569</v>
      </c>
      <c r="B314" s="7">
        <v>251</v>
      </c>
      <c r="C314" s="7">
        <v>262.75</v>
      </c>
      <c r="D314" s="7">
        <v>148.25</v>
      </c>
      <c r="E314" s="7">
        <v>0</v>
      </c>
      <c r="F314" s="7">
        <v>71.75</v>
      </c>
      <c r="G314" s="7">
        <v>24.25</v>
      </c>
      <c r="H314" s="7">
        <v>24.25</v>
      </c>
      <c r="I314" s="7">
        <v>49</v>
      </c>
      <c r="J314" s="7">
        <v>51</v>
      </c>
      <c r="K314" s="7">
        <v>38.5</v>
      </c>
      <c r="L314" s="7">
        <v>51</v>
      </c>
      <c r="M314" s="7">
        <v>251</v>
      </c>
      <c r="N314" s="7">
        <v>0</v>
      </c>
      <c r="O314" s="7">
        <v>36.25</v>
      </c>
      <c r="P314" s="7">
        <v>150.5</v>
      </c>
    </row>
    <row r="315" spans="1:16" ht="15.75">
      <c r="A315" s="130" t="s">
        <v>570</v>
      </c>
      <c r="B315" s="7">
        <v>249.5</v>
      </c>
      <c r="C315" s="7">
        <v>261.25</v>
      </c>
      <c r="D315" s="7">
        <v>147.25</v>
      </c>
      <c r="E315" s="7">
        <v>0</v>
      </c>
      <c r="F315" s="7">
        <v>71.25</v>
      </c>
      <c r="G315" s="7">
        <v>24</v>
      </c>
      <c r="H315" s="7">
        <v>24</v>
      </c>
      <c r="I315" s="7">
        <v>48.75</v>
      </c>
      <c r="J315" s="7">
        <v>50.75</v>
      </c>
      <c r="K315" s="7">
        <v>38.25</v>
      </c>
      <c r="L315" s="7">
        <v>50.75</v>
      </c>
      <c r="M315" s="7">
        <v>249.5</v>
      </c>
      <c r="N315" s="7">
        <v>0</v>
      </c>
      <c r="O315" s="7">
        <v>36</v>
      </c>
      <c r="P315" s="7">
        <v>149.5</v>
      </c>
    </row>
    <row r="316" spans="1:16" ht="15.75">
      <c r="A316" s="130" t="s">
        <v>571</v>
      </c>
      <c r="B316" s="7">
        <v>249.5</v>
      </c>
      <c r="C316" s="7">
        <v>261.25</v>
      </c>
      <c r="D316" s="7">
        <v>147.25</v>
      </c>
      <c r="E316" s="7">
        <v>0</v>
      </c>
      <c r="F316" s="7">
        <v>71.25</v>
      </c>
      <c r="G316" s="7">
        <v>24</v>
      </c>
      <c r="H316" s="7">
        <v>24</v>
      </c>
      <c r="I316" s="7">
        <v>48.75</v>
      </c>
      <c r="J316" s="7">
        <v>50.75</v>
      </c>
      <c r="K316" s="7">
        <v>38.25</v>
      </c>
      <c r="L316" s="7">
        <v>50.75</v>
      </c>
      <c r="M316" s="7">
        <v>249.5</v>
      </c>
      <c r="N316" s="7">
        <v>0</v>
      </c>
      <c r="O316" s="7">
        <v>36</v>
      </c>
      <c r="P316" s="7">
        <v>149.5</v>
      </c>
    </row>
    <row r="317" spans="1:16" ht="15.75">
      <c r="A317" s="130" t="s">
        <v>572</v>
      </c>
      <c r="B317" s="7">
        <v>249.5</v>
      </c>
      <c r="C317" s="7">
        <v>261.25</v>
      </c>
      <c r="D317" s="7">
        <v>147.25</v>
      </c>
      <c r="E317" s="7">
        <v>0</v>
      </c>
      <c r="F317" s="7">
        <v>71.25</v>
      </c>
      <c r="G317" s="7">
        <v>24</v>
      </c>
      <c r="H317" s="7">
        <v>24</v>
      </c>
      <c r="I317" s="7">
        <v>48.75</v>
      </c>
      <c r="J317" s="7">
        <v>50.75</v>
      </c>
      <c r="K317" s="7">
        <v>38.25</v>
      </c>
      <c r="L317" s="7">
        <v>50.75</v>
      </c>
      <c r="M317" s="7">
        <v>249.5</v>
      </c>
      <c r="N317" s="7">
        <v>0</v>
      </c>
      <c r="O317" s="7">
        <v>36</v>
      </c>
      <c r="P317" s="7">
        <v>149.5</v>
      </c>
    </row>
    <row r="318" spans="1:16" ht="15.75">
      <c r="A318" s="130" t="s">
        <v>573</v>
      </c>
      <c r="B318" s="7">
        <v>249.5</v>
      </c>
      <c r="C318" s="7">
        <v>261.25</v>
      </c>
      <c r="D318" s="7">
        <v>147.25</v>
      </c>
      <c r="E318" s="7">
        <v>0</v>
      </c>
      <c r="F318" s="7">
        <v>71.25</v>
      </c>
      <c r="G318" s="7">
        <v>24</v>
      </c>
      <c r="H318" s="7">
        <v>24</v>
      </c>
      <c r="I318" s="7">
        <v>48.75</v>
      </c>
      <c r="J318" s="7">
        <v>50.75</v>
      </c>
      <c r="K318" s="7">
        <v>38.25</v>
      </c>
      <c r="L318" s="7">
        <v>50.75</v>
      </c>
      <c r="M318" s="7">
        <v>249.5</v>
      </c>
      <c r="N318" s="7">
        <v>0</v>
      </c>
      <c r="O318" s="7">
        <v>36</v>
      </c>
      <c r="P318" s="7">
        <v>149.5</v>
      </c>
    </row>
    <row r="319" spans="1:16" ht="15.75">
      <c r="A319" s="130" t="s">
        <v>574</v>
      </c>
      <c r="B319" s="7">
        <v>250.75</v>
      </c>
      <c r="C319" s="7">
        <v>262.5</v>
      </c>
      <c r="D319" s="7">
        <v>148</v>
      </c>
      <c r="E319" s="7">
        <v>0</v>
      </c>
      <c r="F319" s="7">
        <v>71.5</v>
      </c>
      <c r="G319" s="7">
        <v>24</v>
      </c>
      <c r="H319" s="7">
        <v>24</v>
      </c>
      <c r="I319" s="7">
        <v>49</v>
      </c>
      <c r="J319" s="7">
        <v>51</v>
      </c>
      <c r="K319" s="7">
        <v>38.5</v>
      </c>
      <c r="L319" s="7">
        <v>51</v>
      </c>
      <c r="M319" s="7">
        <v>250.75</v>
      </c>
      <c r="N319" s="7">
        <v>0</v>
      </c>
      <c r="O319" s="7">
        <v>36.25</v>
      </c>
      <c r="P319" s="7">
        <v>150.25</v>
      </c>
    </row>
    <row r="320" spans="1:16" ht="15.75">
      <c r="A320" s="130" t="s">
        <v>575</v>
      </c>
      <c r="B320" s="7">
        <v>250.75</v>
      </c>
      <c r="C320" s="7">
        <v>262.5</v>
      </c>
      <c r="D320" s="7">
        <v>148</v>
      </c>
      <c r="E320" s="7">
        <v>0</v>
      </c>
      <c r="F320" s="7">
        <v>71.5</v>
      </c>
      <c r="G320" s="7">
        <v>24</v>
      </c>
      <c r="H320" s="7">
        <v>24</v>
      </c>
      <c r="I320" s="7">
        <v>49</v>
      </c>
      <c r="J320" s="7">
        <v>51</v>
      </c>
      <c r="K320" s="7">
        <v>38.5</v>
      </c>
      <c r="L320" s="7">
        <v>51</v>
      </c>
      <c r="M320" s="7">
        <v>250.75</v>
      </c>
      <c r="N320" s="7">
        <v>0</v>
      </c>
      <c r="O320" s="7">
        <v>36.25</v>
      </c>
      <c r="P320" s="7">
        <v>150.25</v>
      </c>
    </row>
    <row r="321" spans="1:16" ht="15.75">
      <c r="A321" s="130" t="s">
        <v>576</v>
      </c>
      <c r="B321" s="7">
        <v>250.75</v>
      </c>
      <c r="C321" s="7">
        <v>262.5</v>
      </c>
      <c r="D321" s="7">
        <v>148</v>
      </c>
      <c r="E321" s="7">
        <v>0</v>
      </c>
      <c r="F321" s="7">
        <v>71.5</v>
      </c>
      <c r="G321" s="7">
        <v>24</v>
      </c>
      <c r="H321" s="7">
        <v>24</v>
      </c>
      <c r="I321" s="7">
        <v>49</v>
      </c>
      <c r="J321" s="7">
        <v>51</v>
      </c>
      <c r="K321" s="7">
        <v>38.5</v>
      </c>
      <c r="L321" s="7">
        <v>51</v>
      </c>
      <c r="M321" s="7">
        <v>250.75</v>
      </c>
      <c r="N321" s="7">
        <v>0</v>
      </c>
      <c r="O321" s="7">
        <v>36.25</v>
      </c>
      <c r="P321" s="7">
        <v>150.25</v>
      </c>
    </row>
    <row r="322" spans="1:16" ht="15.75">
      <c r="A322" s="130" t="s">
        <v>577</v>
      </c>
      <c r="B322" s="7">
        <v>250.75</v>
      </c>
      <c r="C322" s="7">
        <v>262.5</v>
      </c>
      <c r="D322" s="7">
        <v>148</v>
      </c>
      <c r="E322" s="7">
        <v>0</v>
      </c>
      <c r="F322" s="7">
        <v>71.5</v>
      </c>
      <c r="G322" s="7">
        <v>24</v>
      </c>
      <c r="H322" s="7">
        <v>24</v>
      </c>
      <c r="I322" s="7">
        <v>49</v>
      </c>
      <c r="J322" s="7">
        <v>51</v>
      </c>
      <c r="K322" s="7">
        <v>38.5</v>
      </c>
      <c r="L322" s="7">
        <v>51</v>
      </c>
      <c r="M322" s="7">
        <v>250.75</v>
      </c>
      <c r="N322" s="7">
        <v>0</v>
      </c>
      <c r="O322" s="7">
        <v>36.25</v>
      </c>
      <c r="P322" s="7">
        <v>150.25</v>
      </c>
    </row>
    <row r="323" spans="1:16" ht="15.75">
      <c r="A323" s="130" t="s">
        <v>578</v>
      </c>
      <c r="B323" s="7">
        <v>250.75</v>
      </c>
      <c r="C323" s="7">
        <v>262.5</v>
      </c>
      <c r="D323" s="7">
        <v>148</v>
      </c>
      <c r="E323" s="7">
        <v>0</v>
      </c>
      <c r="F323" s="7">
        <v>71.5</v>
      </c>
      <c r="G323" s="7">
        <v>24</v>
      </c>
      <c r="H323" s="7">
        <v>24</v>
      </c>
      <c r="I323" s="7">
        <v>49</v>
      </c>
      <c r="J323" s="7">
        <v>51</v>
      </c>
      <c r="K323" s="7">
        <v>38.5</v>
      </c>
      <c r="L323" s="7">
        <v>51</v>
      </c>
      <c r="M323" s="7">
        <v>250.75</v>
      </c>
      <c r="N323" s="7">
        <v>0</v>
      </c>
      <c r="O323" s="7">
        <v>36.25</v>
      </c>
      <c r="P323" s="7">
        <v>150.25</v>
      </c>
    </row>
    <row r="324" spans="1:16" ht="15.75">
      <c r="A324" s="130" t="s">
        <v>579</v>
      </c>
      <c r="B324" s="7">
        <v>252.25</v>
      </c>
      <c r="C324" s="7">
        <v>264</v>
      </c>
      <c r="D324" s="7">
        <v>149</v>
      </c>
      <c r="E324" s="7">
        <v>0</v>
      </c>
      <c r="F324" s="7">
        <v>72</v>
      </c>
      <c r="G324" s="7">
        <v>24.25</v>
      </c>
      <c r="H324" s="7">
        <v>24.25</v>
      </c>
      <c r="I324" s="7">
        <v>49.25</v>
      </c>
      <c r="J324" s="7">
        <v>51.25</v>
      </c>
      <c r="K324" s="7">
        <v>38.75</v>
      </c>
      <c r="L324" s="7">
        <v>51.25</v>
      </c>
      <c r="M324" s="7">
        <v>252.25</v>
      </c>
      <c r="N324" s="7">
        <v>0</v>
      </c>
      <c r="O324" s="7">
        <v>36.5</v>
      </c>
      <c r="P324" s="7">
        <v>151.25</v>
      </c>
    </row>
    <row r="325" spans="1:16" ht="15.75">
      <c r="A325" s="130" t="s">
        <v>580</v>
      </c>
      <c r="B325" s="7">
        <v>252.25</v>
      </c>
      <c r="C325" s="7">
        <v>264</v>
      </c>
      <c r="D325" s="7">
        <v>149</v>
      </c>
      <c r="E325" s="7">
        <v>0</v>
      </c>
      <c r="F325" s="7">
        <v>72</v>
      </c>
      <c r="G325" s="7">
        <v>24.25</v>
      </c>
      <c r="H325" s="7">
        <v>24.25</v>
      </c>
      <c r="I325" s="7">
        <v>49.25</v>
      </c>
      <c r="J325" s="7">
        <v>51.25</v>
      </c>
      <c r="K325" s="7">
        <v>38.75</v>
      </c>
      <c r="L325" s="7">
        <v>51.25</v>
      </c>
      <c r="M325" s="7">
        <v>252.25</v>
      </c>
      <c r="N325" s="7">
        <v>0</v>
      </c>
      <c r="O325" s="7">
        <v>36.5</v>
      </c>
      <c r="P325" s="7">
        <v>151.25</v>
      </c>
    </row>
    <row r="326" spans="1:16" ht="15.75">
      <c r="A326" s="130" t="s">
        <v>581</v>
      </c>
      <c r="B326" s="7">
        <v>252.25</v>
      </c>
      <c r="C326" s="7">
        <v>264</v>
      </c>
      <c r="D326" s="7">
        <v>149</v>
      </c>
      <c r="E326" s="7">
        <v>0</v>
      </c>
      <c r="F326" s="7">
        <v>72</v>
      </c>
      <c r="G326" s="7">
        <v>24.25</v>
      </c>
      <c r="H326" s="7">
        <v>24.25</v>
      </c>
      <c r="I326" s="7">
        <v>49.25</v>
      </c>
      <c r="J326" s="7">
        <v>51.25</v>
      </c>
      <c r="K326" s="7">
        <v>38.75</v>
      </c>
      <c r="L326" s="7">
        <v>51.25</v>
      </c>
      <c r="M326" s="7">
        <v>252.25</v>
      </c>
      <c r="N326" s="7">
        <v>0</v>
      </c>
      <c r="O326" s="7">
        <v>36.5</v>
      </c>
      <c r="P326" s="7">
        <v>151.25</v>
      </c>
    </row>
    <row r="327" spans="1:16" ht="15.75">
      <c r="A327" s="130" t="s">
        <v>582</v>
      </c>
      <c r="B327" s="7">
        <v>252.25</v>
      </c>
      <c r="C327" s="7">
        <v>264</v>
      </c>
      <c r="D327" s="7">
        <v>149</v>
      </c>
      <c r="E327" s="7">
        <v>0</v>
      </c>
      <c r="F327" s="7">
        <v>72</v>
      </c>
      <c r="G327" s="7">
        <v>24.25</v>
      </c>
      <c r="H327" s="7">
        <v>24.25</v>
      </c>
      <c r="I327" s="7">
        <v>49.25</v>
      </c>
      <c r="J327" s="7">
        <v>51.25</v>
      </c>
      <c r="K327" s="7">
        <v>38.75</v>
      </c>
      <c r="L327" s="7">
        <v>51.25</v>
      </c>
      <c r="M327" s="7">
        <v>252.25</v>
      </c>
      <c r="N327" s="7">
        <v>0</v>
      </c>
      <c r="O327" s="7">
        <v>36.5</v>
      </c>
      <c r="P327" s="7">
        <v>151.25</v>
      </c>
    </row>
    <row r="328" spans="1:16" ht="15.75">
      <c r="A328" s="130" t="s">
        <v>583</v>
      </c>
      <c r="B328" s="7">
        <v>252</v>
      </c>
      <c r="C328" s="7">
        <v>263.75</v>
      </c>
      <c r="D328" s="7">
        <v>149</v>
      </c>
      <c r="E328" s="7">
        <v>0</v>
      </c>
      <c r="F328" s="7">
        <v>72</v>
      </c>
      <c r="G328" s="7">
        <v>24.25</v>
      </c>
      <c r="H328" s="7">
        <v>24.25</v>
      </c>
      <c r="I328" s="7">
        <v>49.25</v>
      </c>
      <c r="J328" s="7">
        <v>51.25</v>
      </c>
      <c r="K328" s="7">
        <v>38.75</v>
      </c>
      <c r="L328" s="7">
        <v>51.25</v>
      </c>
      <c r="M328" s="7">
        <v>252</v>
      </c>
      <c r="N328" s="7">
        <v>0</v>
      </c>
      <c r="O328" s="7">
        <v>36.5</v>
      </c>
      <c r="P328" s="7">
        <v>151.25</v>
      </c>
    </row>
    <row r="329" spans="1:16" ht="15.75">
      <c r="A329" s="130" t="s">
        <v>584</v>
      </c>
      <c r="B329" s="7">
        <v>252</v>
      </c>
      <c r="C329" s="7">
        <v>263.75</v>
      </c>
      <c r="D329" s="7">
        <v>149</v>
      </c>
      <c r="E329" s="7">
        <v>0</v>
      </c>
      <c r="F329" s="7">
        <v>72</v>
      </c>
      <c r="G329" s="7">
        <v>24.25</v>
      </c>
      <c r="H329" s="7">
        <v>24.25</v>
      </c>
      <c r="I329" s="7">
        <v>49.25</v>
      </c>
      <c r="J329" s="7">
        <v>51.25</v>
      </c>
      <c r="K329" s="7">
        <v>38.75</v>
      </c>
      <c r="L329" s="7">
        <v>51.25</v>
      </c>
      <c r="M329" s="7">
        <v>252</v>
      </c>
      <c r="N329" s="7">
        <v>0</v>
      </c>
      <c r="O329" s="7">
        <v>36.5</v>
      </c>
      <c r="P329" s="7">
        <v>151.25</v>
      </c>
    </row>
    <row r="330" spans="1:16" ht="15.75">
      <c r="A330" s="130" t="s">
        <v>585</v>
      </c>
      <c r="B330" s="7">
        <v>252</v>
      </c>
      <c r="C330" s="7">
        <v>263.75</v>
      </c>
      <c r="D330" s="7">
        <v>149</v>
      </c>
      <c r="E330" s="7">
        <v>0</v>
      </c>
      <c r="F330" s="7">
        <v>72</v>
      </c>
      <c r="G330" s="7">
        <v>24.25</v>
      </c>
      <c r="H330" s="7">
        <v>24.25</v>
      </c>
      <c r="I330" s="7">
        <v>49.25</v>
      </c>
      <c r="J330" s="7">
        <v>51.25</v>
      </c>
      <c r="K330" s="7">
        <v>38.75</v>
      </c>
      <c r="L330" s="7">
        <v>51.25</v>
      </c>
      <c r="M330" s="7">
        <v>252</v>
      </c>
      <c r="N330" s="7">
        <v>0</v>
      </c>
      <c r="O330" s="7">
        <v>36.5</v>
      </c>
      <c r="P330" s="7">
        <v>151.25</v>
      </c>
    </row>
    <row r="331" spans="1:16" ht="15.75">
      <c r="A331" s="130" t="s">
        <v>588</v>
      </c>
      <c r="B331" s="7">
        <v>252</v>
      </c>
      <c r="C331" s="7">
        <v>263.75</v>
      </c>
      <c r="D331" s="7">
        <v>149</v>
      </c>
      <c r="E331" s="7">
        <v>0</v>
      </c>
      <c r="F331" s="7">
        <v>72</v>
      </c>
      <c r="G331" s="7">
        <v>24.25</v>
      </c>
      <c r="H331" s="7">
        <v>24.25</v>
      </c>
      <c r="I331" s="7">
        <v>49.25</v>
      </c>
      <c r="J331" s="7">
        <v>51.25</v>
      </c>
      <c r="K331" s="7">
        <v>38.75</v>
      </c>
      <c r="L331" s="7">
        <v>51.25</v>
      </c>
      <c r="M331" s="7">
        <v>252</v>
      </c>
      <c r="N331" s="7">
        <v>0</v>
      </c>
      <c r="O331" s="7">
        <v>36.5</v>
      </c>
      <c r="P331" s="7">
        <v>151.25</v>
      </c>
    </row>
    <row r="332" spans="1:16" ht="15.75">
      <c r="A332" s="130" t="s">
        <v>587</v>
      </c>
      <c r="B332" s="7">
        <v>252</v>
      </c>
      <c r="C332" s="7">
        <v>263.75</v>
      </c>
      <c r="D332" s="7">
        <v>149</v>
      </c>
      <c r="E332" s="7">
        <v>0</v>
      </c>
      <c r="F332" s="7">
        <v>72</v>
      </c>
      <c r="G332" s="7">
        <v>24.25</v>
      </c>
      <c r="H332" s="7">
        <v>24.25</v>
      </c>
      <c r="I332" s="7">
        <v>49.25</v>
      </c>
      <c r="J332" s="7">
        <v>51.25</v>
      </c>
      <c r="K332" s="7">
        <v>38.75</v>
      </c>
      <c r="L332" s="7">
        <v>51.25</v>
      </c>
      <c r="M332" s="7">
        <v>252</v>
      </c>
      <c r="N332" s="7">
        <v>0</v>
      </c>
      <c r="O332" s="7">
        <v>36.5</v>
      </c>
      <c r="P332" s="7">
        <v>151.25</v>
      </c>
    </row>
    <row r="333" spans="1:16" ht="15.75">
      <c r="A333" s="130" t="s">
        <v>586</v>
      </c>
      <c r="B333" s="7">
        <v>254</v>
      </c>
      <c r="C333" s="7">
        <v>266</v>
      </c>
      <c r="D333" s="7">
        <v>150.25</v>
      </c>
      <c r="E333" s="7">
        <v>0</v>
      </c>
      <c r="F333" s="7">
        <v>72.5</v>
      </c>
      <c r="G333" s="7">
        <v>24.5</v>
      </c>
      <c r="H333" s="7">
        <v>24.25</v>
      </c>
      <c r="I333" s="7">
        <v>49.75</v>
      </c>
      <c r="J333" s="7">
        <v>51.75</v>
      </c>
      <c r="K333" s="7">
        <v>39</v>
      </c>
      <c r="L333" s="7">
        <v>51.75</v>
      </c>
      <c r="M333" s="7">
        <v>254</v>
      </c>
      <c r="N333" s="7">
        <v>0</v>
      </c>
      <c r="O333" s="7">
        <v>36.75</v>
      </c>
      <c r="P333" s="7">
        <v>152.5</v>
      </c>
    </row>
    <row r="334" spans="1:16" ht="15.75">
      <c r="A334" s="130" t="s">
        <v>589</v>
      </c>
      <c r="B334" s="7">
        <v>254</v>
      </c>
      <c r="C334" s="7">
        <v>266</v>
      </c>
      <c r="D334" s="7">
        <v>150.25</v>
      </c>
      <c r="E334" s="7">
        <v>0</v>
      </c>
      <c r="F334" s="7">
        <v>72.5</v>
      </c>
      <c r="G334" s="7">
        <v>24.5</v>
      </c>
      <c r="H334" s="7">
        <v>24.25</v>
      </c>
      <c r="I334" s="7">
        <v>49.75</v>
      </c>
      <c r="J334" s="7">
        <v>51.75</v>
      </c>
      <c r="K334" s="7">
        <v>39</v>
      </c>
      <c r="L334" s="7">
        <v>51.75</v>
      </c>
      <c r="M334" s="7">
        <v>254</v>
      </c>
      <c r="N334" s="7">
        <v>0</v>
      </c>
      <c r="O334" s="7">
        <v>36.75</v>
      </c>
      <c r="P334" s="7">
        <v>152.5</v>
      </c>
    </row>
    <row r="335" spans="1:16" ht="15.75">
      <c r="A335" s="130" t="s">
        <v>590</v>
      </c>
      <c r="B335" s="7">
        <v>254</v>
      </c>
      <c r="C335" s="7">
        <v>266</v>
      </c>
      <c r="D335" s="7">
        <v>150.25</v>
      </c>
      <c r="E335" s="7">
        <v>0</v>
      </c>
      <c r="F335" s="7">
        <v>72.5</v>
      </c>
      <c r="G335" s="7">
        <v>24.5</v>
      </c>
      <c r="H335" s="7">
        <v>24.25</v>
      </c>
      <c r="I335" s="7">
        <v>49.75</v>
      </c>
      <c r="J335" s="7">
        <v>51.75</v>
      </c>
      <c r="K335" s="7">
        <v>39</v>
      </c>
      <c r="L335" s="7">
        <v>51.75</v>
      </c>
      <c r="M335" s="7">
        <v>254</v>
      </c>
      <c r="N335" s="7">
        <v>0</v>
      </c>
      <c r="O335" s="7">
        <v>36.75</v>
      </c>
      <c r="P335" s="7">
        <v>152.5</v>
      </c>
    </row>
    <row r="336" spans="1:16" ht="15.75">
      <c r="A336" s="130" t="s">
        <v>591</v>
      </c>
      <c r="B336" s="7">
        <v>254</v>
      </c>
      <c r="C336" s="7">
        <v>266</v>
      </c>
      <c r="D336" s="7">
        <v>150.25</v>
      </c>
      <c r="E336" s="7">
        <v>0</v>
      </c>
      <c r="F336" s="7">
        <v>72.5</v>
      </c>
      <c r="G336" s="7">
        <v>24.5</v>
      </c>
      <c r="H336" s="7">
        <v>24.25</v>
      </c>
      <c r="I336" s="7">
        <v>49.75</v>
      </c>
      <c r="J336" s="7">
        <v>51.75</v>
      </c>
      <c r="K336" s="7">
        <v>39</v>
      </c>
      <c r="L336" s="7">
        <v>51.75</v>
      </c>
      <c r="M336" s="7">
        <v>254</v>
      </c>
      <c r="N336" s="7">
        <v>0</v>
      </c>
      <c r="O336" s="7">
        <v>36.75</v>
      </c>
      <c r="P336" s="7">
        <v>152.5</v>
      </c>
    </row>
    <row r="337" spans="1:16" ht="15.75">
      <c r="A337" s="130" t="s">
        <v>592</v>
      </c>
      <c r="B337" s="7">
        <v>255.75</v>
      </c>
      <c r="C337" s="7">
        <v>267.75</v>
      </c>
      <c r="D337" s="7">
        <v>151.25</v>
      </c>
      <c r="E337" s="7">
        <v>0</v>
      </c>
      <c r="F337" s="7">
        <v>73</v>
      </c>
      <c r="G337" s="7">
        <v>24.75</v>
      </c>
      <c r="H337" s="7">
        <v>24.75</v>
      </c>
      <c r="I337" s="7">
        <v>50</v>
      </c>
      <c r="J337" s="7">
        <v>52</v>
      </c>
      <c r="K337" s="7">
        <v>39.25</v>
      </c>
      <c r="L337" s="7">
        <v>52</v>
      </c>
      <c r="M337" s="7">
        <v>255.75</v>
      </c>
      <c r="N337" s="7">
        <v>0</v>
      </c>
      <c r="O337" s="7">
        <v>37</v>
      </c>
      <c r="P337" s="7">
        <v>153.5</v>
      </c>
    </row>
    <row r="338" spans="1:16" ht="15.75">
      <c r="A338" s="130" t="s">
        <v>593</v>
      </c>
      <c r="B338" s="7">
        <v>255.75</v>
      </c>
      <c r="C338" s="7">
        <v>267.75</v>
      </c>
      <c r="D338" s="7">
        <v>151.25</v>
      </c>
      <c r="E338" s="7">
        <v>0</v>
      </c>
      <c r="F338" s="7">
        <v>73</v>
      </c>
      <c r="G338" s="7">
        <v>24.75</v>
      </c>
      <c r="H338" s="7">
        <v>24.75</v>
      </c>
      <c r="I338" s="7">
        <v>50</v>
      </c>
      <c r="J338" s="7">
        <v>52</v>
      </c>
      <c r="K338" s="7">
        <v>39.25</v>
      </c>
      <c r="L338" s="7">
        <v>52</v>
      </c>
      <c r="M338" s="7">
        <v>255.75</v>
      </c>
      <c r="N338" s="7">
        <v>0</v>
      </c>
      <c r="O338" s="7">
        <v>37</v>
      </c>
      <c r="P338" s="7">
        <v>153.5</v>
      </c>
    </row>
    <row r="339" spans="1:16" ht="15.75">
      <c r="A339" s="130" t="s">
        <v>594</v>
      </c>
      <c r="B339" s="7">
        <v>267.75</v>
      </c>
      <c r="C339" s="7">
        <v>255.75</v>
      </c>
      <c r="D339" s="7">
        <v>151.25</v>
      </c>
      <c r="E339" s="7">
        <v>0</v>
      </c>
      <c r="F339" s="7">
        <v>73</v>
      </c>
      <c r="G339" s="7">
        <v>24.75</v>
      </c>
      <c r="H339" s="7">
        <v>24.75</v>
      </c>
      <c r="I339" s="7">
        <v>50</v>
      </c>
      <c r="J339" s="7">
        <v>52</v>
      </c>
      <c r="K339" s="7">
        <v>39.25</v>
      </c>
      <c r="L339" s="7">
        <v>52</v>
      </c>
      <c r="M339" s="7">
        <v>255.75</v>
      </c>
      <c r="N339" s="7">
        <v>0</v>
      </c>
      <c r="O339" s="7">
        <v>37</v>
      </c>
      <c r="P339" s="7" t="s">
        <v>595</v>
      </c>
    </row>
    <row r="340" spans="1:16" ht="15.75">
      <c r="A340" s="130" t="s">
        <v>596</v>
      </c>
      <c r="B340" s="7">
        <v>267.75</v>
      </c>
      <c r="C340" s="7">
        <v>255.75</v>
      </c>
      <c r="D340" s="7">
        <v>151.25</v>
      </c>
      <c r="E340" s="7">
        <v>0</v>
      </c>
      <c r="F340" s="7">
        <v>73</v>
      </c>
      <c r="G340" s="7">
        <v>24.75</v>
      </c>
      <c r="H340" s="7">
        <v>24.75</v>
      </c>
      <c r="I340" s="7">
        <v>50</v>
      </c>
      <c r="J340" s="7">
        <v>52</v>
      </c>
      <c r="K340" s="7">
        <v>39.25</v>
      </c>
      <c r="L340" s="7">
        <v>24</v>
      </c>
      <c r="M340" s="7">
        <v>255.75</v>
      </c>
      <c r="N340" s="7">
        <v>0</v>
      </c>
      <c r="O340" s="7">
        <v>37</v>
      </c>
      <c r="P340" s="7" t="s">
        <v>595</v>
      </c>
    </row>
    <row r="341" spans="1:16" ht="15.75">
      <c r="A341" s="130" t="s">
        <v>597</v>
      </c>
      <c r="B341" s="7">
        <v>255.75</v>
      </c>
      <c r="C341" s="7">
        <v>267.75</v>
      </c>
      <c r="D341" s="7">
        <v>151.25</v>
      </c>
      <c r="E341" s="7">
        <v>0</v>
      </c>
      <c r="F341" s="7">
        <v>73</v>
      </c>
      <c r="G341" s="7">
        <v>24.75</v>
      </c>
      <c r="H341" s="7">
        <v>24.75</v>
      </c>
      <c r="I341" s="7">
        <v>50</v>
      </c>
      <c r="J341" s="7">
        <v>52</v>
      </c>
      <c r="K341" s="7">
        <v>39.25</v>
      </c>
      <c r="L341" s="7">
        <v>24</v>
      </c>
      <c r="M341" s="7">
        <v>255.75</v>
      </c>
      <c r="N341" s="7">
        <v>0</v>
      </c>
      <c r="O341" s="7">
        <v>37</v>
      </c>
      <c r="P341" s="7" t="s">
        <v>595</v>
      </c>
    </row>
    <row r="342" spans="1:16" ht="15.75">
      <c r="A342" s="130" t="s">
        <v>598</v>
      </c>
      <c r="B342" s="7">
        <v>260.5</v>
      </c>
      <c r="C342" s="7">
        <v>272.5</v>
      </c>
      <c r="D342" s="7">
        <v>154</v>
      </c>
      <c r="E342" s="7">
        <v>0</v>
      </c>
      <c r="F342" s="7">
        <v>74.25</v>
      </c>
      <c r="G342" s="7">
        <v>25.25</v>
      </c>
      <c r="H342" s="7">
        <v>25.25</v>
      </c>
      <c r="I342" s="7">
        <v>51</v>
      </c>
      <c r="J342" s="7">
        <v>53</v>
      </c>
      <c r="K342" s="7">
        <v>40</v>
      </c>
      <c r="L342" s="7">
        <v>24</v>
      </c>
      <c r="M342" s="7">
        <v>260.5</v>
      </c>
      <c r="N342" s="7">
        <v>0</v>
      </c>
      <c r="O342" s="7">
        <v>37.75</v>
      </c>
      <c r="P342" s="7" t="s">
        <v>595</v>
      </c>
    </row>
    <row r="343" spans="1:16" ht="15.75">
      <c r="A343" s="130" t="s">
        <v>599</v>
      </c>
      <c r="B343" s="7">
        <v>260.5</v>
      </c>
      <c r="C343" s="7">
        <v>272.5</v>
      </c>
      <c r="D343" s="7">
        <v>154</v>
      </c>
      <c r="E343" s="7">
        <v>0</v>
      </c>
      <c r="F343" s="7">
        <v>74.25</v>
      </c>
      <c r="G343" s="7">
        <v>25.25</v>
      </c>
      <c r="H343" s="7">
        <v>25.25</v>
      </c>
      <c r="I343" s="7">
        <v>51</v>
      </c>
      <c r="J343" s="7">
        <v>53</v>
      </c>
      <c r="K343" s="7">
        <v>40</v>
      </c>
      <c r="L343" s="7">
        <v>24</v>
      </c>
      <c r="M343" s="7">
        <v>260.5</v>
      </c>
      <c r="N343" s="7">
        <v>0</v>
      </c>
      <c r="O343" s="7">
        <v>37.75</v>
      </c>
      <c r="P343" s="7" t="s">
        <v>595</v>
      </c>
    </row>
    <row r="344" spans="1:16" ht="15.75">
      <c r="A344" s="130" t="s">
        <v>600</v>
      </c>
      <c r="B344" s="7">
        <v>260.5</v>
      </c>
      <c r="C344" s="7">
        <v>272.5</v>
      </c>
      <c r="D344" s="7">
        <v>154</v>
      </c>
      <c r="E344" s="7">
        <v>0</v>
      </c>
      <c r="F344" s="7">
        <v>74.25</v>
      </c>
      <c r="G344" s="7">
        <v>25.25</v>
      </c>
      <c r="H344" s="7">
        <v>25.25</v>
      </c>
      <c r="I344" s="7">
        <v>51</v>
      </c>
      <c r="J344" s="7">
        <v>53</v>
      </c>
      <c r="K344" s="7">
        <v>40</v>
      </c>
      <c r="L344" s="7">
        <v>24</v>
      </c>
      <c r="M344" s="7">
        <v>260.5</v>
      </c>
      <c r="N344" s="7">
        <v>0</v>
      </c>
      <c r="O344" s="7">
        <v>37.75</v>
      </c>
      <c r="P344" s="7">
        <v>156.25</v>
      </c>
    </row>
    <row r="345" spans="1:16" ht="15.75">
      <c r="A345" s="130" t="s">
        <v>602</v>
      </c>
      <c r="B345" s="7">
        <v>260.5</v>
      </c>
      <c r="C345" s="7">
        <v>272.5</v>
      </c>
      <c r="D345" s="7">
        <v>154</v>
      </c>
      <c r="E345" s="7">
        <v>0</v>
      </c>
      <c r="F345" s="7">
        <v>74.25</v>
      </c>
      <c r="G345" s="7">
        <v>25.25</v>
      </c>
      <c r="H345" s="7">
        <v>25.25</v>
      </c>
      <c r="I345" s="7">
        <v>51</v>
      </c>
      <c r="J345" s="7">
        <v>53</v>
      </c>
      <c r="K345" s="7">
        <v>40</v>
      </c>
      <c r="L345" s="7">
        <v>24</v>
      </c>
      <c r="M345" s="7">
        <v>260.5</v>
      </c>
      <c r="N345" s="7">
        <v>0</v>
      </c>
      <c r="O345" s="7">
        <v>37.75</v>
      </c>
      <c r="P345" s="7">
        <v>156.25</v>
      </c>
    </row>
    <row r="346" spans="1:16" ht="15.75">
      <c r="A346" s="130" t="s">
        <v>604</v>
      </c>
      <c r="B346" s="7">
        <v>266.75</v>
      </c>
      <c r="C346" s="7">
        <v>279</v>
      </c>
      <c r="D346" s="7">
        <v>157.75</v>
      </c>
      <c r="E346" s="7">
        <v>0</v>
      </c>
      <c r="F346" s="7">
        <v>76</v>
      </c>
      <c r="G346" s="7">
        <v>25.75</v>
      </c>
      <c r="H346" s="7">
        <v>25.75</v>
      </c>
      <c r="I346" s="7">
        <v>52.25</v>
      </c>
      <c r="J346" s="7">
        <v>54.25</v>
      </c>
      <c r="K346" s="7">
        <v>41</v>
      </c>
      <c r="L346" s="7">
        <v>24</v>
      </c>
      <c r="M346" s="7">
        <v>266.75</v>
      </c>
      <c r="N346" s="7">
        <v>0</v>
      </c>
      <c r="O346" s="7">
        <v>38.75</v>
      </c>
      <c r="P346" s="7">
        <v>160</v>
      </c>
    </row>
  </sheetData>
  <sheetProtection/>
  <mergeCells count="8">
    <mergeCell ref="B1:P4"/>
    <mergeCell ref="A5:A6"/>
    <mergeCell ref="P5:P6"/>
    <mergeCell ref="F5:F6"/>
    <mergeCell ref="G5:G6"/>
    <mergeCell ref="J5:J6"/>
    <mergeCell ref="M5:M6"/>
    <mergeCell ref="D5:D6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Herrera Jiménez</dc:creator>
  <cp:keywords/>
  <dc:description/>
  <cp:lastModifiedBy>Lizeth Ramirez Camacho</cp:lastModifiedBy>
  <cp:lastPrinted>2022-03-01T21:51:25Z</cp:lastPrinted>
  <dcterms:created xsi:type="dcterms:W3CDTF">2006-11-28T22:58:58Z</dcterms:created>
  <dcterms:modified xsi:type="dcterms:W3CDTF">2022-05-17T21:52:20Z</dcterms:modified>
  <cp:category/>
  <cp:version/>
  <cp:contentType/>
  <cp:contentStatus/>
</cp:coreProperties>
</file>